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3.xml" ContentType="application/vnd.openxmlformats-officedocument.drawing+xml"/>
  <Override PartName="/xl/charts/chart19.xml" ContentType="application/vnd.openxmlformats-officedocument.drawingml.chart+xml"/>
  <Override PartName="/xl/drawings/drawing4.xml" ContentType="application/vnd.openxmlformats-officedocument.drawingml.chartshapes+xml"/>
  <Override PartName="/xl/charts/chart20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8.xml" ContentType="application/vnd.openxmlformats-officedocument.drawing+xml"/>
  <Override PartName="/xl/charts/chart21.xml" ContentType="application/vnd.openxmlformats-officedocument.drawingml.chart+xml"/>
  <Override PartName="/xl/drawings/drawing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10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drawings/drawing11.xml" ContentType="application/vnd.openxmlformats-officedocument.drawing+xml"/>
  <Override PartName="/xl/comments1.xml" ContentType="application/vnd.openxmlformats-officedocument.spreadsheetml.comments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drawings/drawing12.xml" ContentType="application/vnd.openxmlformats-officedocument.drawing+xml"/>
  <Override PartName="/xl/comments2.xml" ContentType="application/vnd.openxmlformats-officedocument.spreadsheetml.comments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drawings/drawing13.xml" ContentType="application/vnd.openxmlformats-officedocument.drawing+xml"/>
  <Override PartName="/xl/charts/chart100.xml" ContentType="application/vnd.openxmlformats-officedocument.drawingml.chart+xml"/>
  <Override PartName="/xl/drawings/drawing14.xml" ContentType="application/vnd.openxmlformats-officedocument.drawing+xml"/>
  <Override PartName="/xl/charts/chart101.xml" ContentType="application/vnd.openxmlformats-officedocument.drawingml.chart+xml"/>
  <Override PartName="/xl/drawings/drawing15.xml" ContentType="application/vnd.openxmlformats-officedocument.drawing+xml"/>
  <Override PartName="/xl/charts/chart102.xml" ContentType="application/vnd.openxmlformats-officedocument.drawingml.chart+xml"/>
  <Override PartName="/xl/drawings/drawing16.xml" ContentType="application/vnd.openxmlformats-officedocument.drawing+xml"/>
  <Override PartName="/xl/charts/chart10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codeName="ThisWorkbook"/>
  <workbookProtection workbookPassword="A7EA" lockStructure="1"/>
  <bookViews>
    <workbookView xWindow="-15" yWindow="585" windowWidth="14175" windowHeight="4410" tabRatio="943" firstSheet="5" activeTab="5"/>
  </bookViews>
  <sheets>
    <sheet name="データ貼り付け" sheetId="363" state="hidden" r:id="rId1"/>
    <sheet name="IF特性" sheetId="364" state="hidden" r:id="rId2"/>
    <sheet name="Tc特性" sheetId="365" state="hidden" r:id="rId3"/>
    <sheet name="スペ" sheetId="366" state="hidden" r:id="rId4"/>
    <sheet name="座標" sheetId="367" state="hidden" r:id="rId5"/>
    <sheet name="Selector" sheetId="1" r:id="rId6"/>
    <sheet name="Calculation" sheetId="351" state="hidden" r:id="rId7"/>
    <sheet name="Tcスペック算出" sheetId="350" state="hidden" r:id="rId8"/>
    <sheet name="熱抵抗" sheetId="357" state="hidden" r:id="rId9"/>
    <sheet name="代表特性(C4)" sheetId="358" state="hidden" r:id="rId10"/>
    <sheet name="代表特性(C9)_元データ" sheetId="370" state="hidden" r:id="rId11"/>
    <sheet name="代表特性(C9)" sheetId="359" state="hidden" r:id="rId12"/>
    <sheet name="最大定格 (DR2)" sheetId="361" state="hidden" r:id="rId13"/>
    <sheet name="最大定格(信頼性)" sheetId="356" state="hidden" r:id="rId14"/>
    <sheet name="最大定格(信頼性) (2)" sheetId="371" state="hidden" r:id="rId15"/>
    <sheet name="最大定格(信頼性) (3)" sheetId="372" state="hidden" r:id="rId16"/>
    <sheet name="初期全光束(Tj=85℃)" sheetId="360" state="hidden" r:id="rId17"/>
    <sheet name="初期全光束(Tj=85℃)_1015更新" sheetId="362" state="hidden" r:id="rId18"/>
    <sheet name="初期全光束(Tj=85℃)_1105更新" sheetId="368" state="hidden" r:id="rId19"/>
    <sheet name="初期全光束(Tj=85℃)_0306更新" sheetId="373" state="hidden" r:id="rId20"/>
  </sheets>
  <definedNames>
    <definedName name="_xlnm.Print_Area" localSheetId="6">Calculation!$A$2:$AF$184</definedName>
    <definedName name="_xlnm.Print_Area" localSheetId="5">Selector!$A$1:$N$29</definedName>
    <definedName name="sheetcount" localSheetId="12">#REF!</definedName>
    <definedName name="sheetcount" localSheetId="14">#REF!</definedName>
    <definedName name="sheetcount" localSheetId="15">#REF!</definedName>
    <definedName name="sheetcount" localSheetId="19">#REF!</definedName>
    <definedName name="sheetcount" localSheetId="17">#REF!</definedName>
    <definedName name="sheetcount" localSheetId="18">#REF!</definedName>
    <definedName name="sheetcount" localSheetId="10">#REF!</definedName>
    <definedName name="sheetcount">#REF!</definedName>
    <definedName name="校正球一覧" localSheetId="12">#REF!</definedName>
    <definedName name="校正球一覧" localSheetId="14">#REF!</definedName>
    <definedName name="校正球一覧" localSheetId="15">#REF!</definedName>
    <definedName name="校正球一覧" localSheetId="19">#REF!</definedName>
    <definedName name="校正球一覧" localSheetId="17">#REF!</definedName>
    <definedName name="校正球一覧" localSheetId="18">#REF!</definedName>
    <definedName name="校正球一覧" localSheetId="11">#REF!</definedName>
    <definedName name="校正球一覧" localSheetId="10">#REF!</definedName>
    <definedName name="校正球一覧">#REF!</definedName>
  </definedNames>
  <calcPr calcId="145621"/>
</workbook>
</file>

<file path=xl/calcChain.xml><?xml version="1.0" encoding="utf-8"?>
<calcChain xmlns="http://schemas.openxmlformats.org/spreadsheetml/2006/main">
  <c r="J151" i="351" l="1"/>
  <c r="J150" i="351"/>
  <c r="J149" i="351"/>
  <c r="J148" i="351"/>
  <c r="J147" i="351"/>
  <c r="J146" i="351"/>
  <c r="J145" i="351"/>
  <c r="J125" i="351"/>
  <c r="I125" i="351"/>
  <c r="J124" i="351"/>
  <c r="I124" i="351"/>
  <c r="J123" i="351"/>
  <c r="I123" i="351"/>
  <c r="J122" i="351"/>
  <c r="I122" i="351"/>
  <c r="H126" i="351"/>
  <c r="H125" i="351"/>
  <c r="H124" i="351"/>
  <c r="H123" i="351"/>
  <c r="H122" i="351"/>
  <c r="V102" i="351"/>
  <c r="V101" i="351"/>
  <c r="V100" i="351"/>
  <c r="V99" i="351"/>
  <c r="J81" i="351"/>
  <c r="J80" i="351"/>
  <c r="J79" i="351"/>
  <c r="J78" i="351"/>
  <c r="I82" i="351"/>
  <c r="H82" i="351"/>
  <c r="I81" i="351"/>
  <c r="H81" i="351"/>
  <c r="I80" i="351"/>
  <c r="H80" i="351"/>
  <c r="I79" i="351"/>
  <c r="H79" i="351"/>
  <c r="I78" i="351"/>
  <c r="H78" i="351"/>
  <c r="X76" i="351"/>
  <c r="Y76" i="351"/>
  <c r="Z76" i="351"/>
  <c r="AA76" i="351"/>
  <c r="AB76" i="351"/>
  <c r="AC76" i="351"/>
  <c r="AD76" i="351"/>
  <c r="W81" i="351"/>
  <c r="V81" i="351"/>
  <c r="U81" i="351"/>
  <c r="T81" i="351"/>
  <c r="S81" i="351"/>
  <c r="R81" i="351"/>
  <c r="Q81" i="351"/>
  <c r="P81" i="351"/>
  <c r="O81" i="351"/>
  <c r="N81" i="351"/>
  <c r="M81" i="351"/>
  <c r="L81" i="351"/>
  <c r="W80" i="351"/>
  <c r="V80" i="351"/>
  <c r="U80" i="351"/>
  <c r="T80" i="351"/>
  <c r="S80" i="351"/>
  <c r="R80" i="351"/>
  <c r="Q80" i="351"/>
  <c r="P80" i="351"/>
  <c r="O80" i="351"/>
  <c r="N80" i="351"/>
  <c r="M80" i="351"/>
  <c r="L80" i="351"/>
  <c r="W79" i="351"/>
  <c r="V79" i="351"/>
  <c r="U79" i="351"/>
  <c r="T79" i="351"/>
  <c r="S79" i="351"/>
  <c r="R79" i="351"/>
  <c r="Q79" i="351"/>
  <c r="P79" i="351"/>
  <c r="O79" i="351"/>
  <c r="N79" i="351"/>
  <c r="M79" i="351"/>
  <c r="L79" i="351"/>
  <c r="W78" i="351"/>
  <c r="V78" i="351"/>
  <c r="U78" i="351"/>
  <c r="T78" i="351"/>
  <c r="S78" i="351"/>
  <c r="R78" i="351"/>
  <c r="Q78" i="351"/>
  <c r="P78" i="351"/>
  <c r="O78" i="351"/>
  <c r="N78" i="351"/>
  <c r="M78" i="351"/>
  <c r="L78" i="351"/>
  <c r="W77" i="351"/>
  <c r="V77" i="351"/>
  <c r="U77" i="351"/>
  <c r="T77" i="351"/>
  <c r="S77" i="351"/>
  <c r="R77" i="351"/>
  <c r="Q77" i="351"/>
  <c r="P77" i="351"/>
  <c r="O77" i="351"/>
  <c r="N77" i="351"/>
  <c r="M77" i="351"/>
  <c r="K81" i="351"/>
  <c r="K80" i="351"/>
  <c r="K79" i="351"/>
  <c r="K78" i="351"/>
  <c r="W58" i="351"/>
  <c r="V58" i="351"/>
  <c r="U58" i="351"/>
  <c r="T58" i="351"/>
  <c r="S58" i="351"/>
  <c r="R58" i="351"/>
  <c r="Q58" i="351"/>
  <c r="P58" i="351"/>
  <c r="O58" i="351"/>
  <c r="N58" i="351"/>
  <c r="M58" i="351"/>
  <c r="L58" i="351"/>
  <c r="W57" i="351"/>
  <c r="V57" i="351"/>
  <c r="U57" i="351"/>
  <c r="T57" i="351"/>
  <c r="S57" i="351"/>
  <c r="R57" i="351"/>
  <c r="Q57" i="351"/>
  <c r="P57" i="351"/>
  <c r="O57" i="351"/>
  <c r="N57" i="351"/>
  <c r="M57" i="351"/>
  <c r="L57" i="351"/>
  <c r="W56" i="351"/>
  <c r="V56" i="351"/>
  <c r="U56" i="351"/>
  <c r="T56" i="351"/>
  <c r="S56" i="351"/>
  <c r="R56" i="351"/>
  <c r="Q56" i="351"/>
  <c r="P56" i="351"/>
  <c r="O56" i="351"/>
  <c r="N56" i="351"/>
  <c r="M56" i="351"/>
  <c r="L56" i="351" l="1"/>
  <c r="W55" i="351"/>
  <c r="V55" i="351"/>
  <c r="U55" i="351"/>
  <c r="T55" i="351"/>
  <c r="S55" i="351"/>
  <c r="R55" i="351"/>
  <c r="Q55" i="351"/>
  <c r="P55" i="351"/>
  <c r="O55" i="351"/>
  <c r="N55" i="351"/>
  <c r="M55" i="351"/>
  <c r="L55" i="351"/>
  <c r="W54" i="351"/>
  <c r="V54" i="351"/>
  <c r="U54" i="351"/>
  <c r="T54" i="351"/>
  <c r="S54" i="351"/>
  <c r="R54" i="351"/>
  <c r="Q54" i="351"/>
  <c r="P54" i="351"/>
  <c r="O54" i="351"/>
  <c r="N54" i="351"/>
  <c r="M54" i="351"/>
  <c r="L54" i="351"/>
  <c r="X53" i="351" l="1"/>
  <c r="K58" i="351" l="1"/>
  <c r="K57" i="351"/>
  <c r="K56" i="351"/>
  <c r="K55" i="351"/>
  <c r="J59" i="351"/>
  <c r="J58" i="351"/>
  <c r="J57" i="351"/>
  <c r="J56" i="351"/>
  <c r="J55" i="351"/>
  <c r="B37" i="351"/>
  <c r="B36" i="351"/>
  <c r="B35" i="351"/>
  <c r="B34" i="351"/>
  <c r="B33" i="351"/>
  <c r="B36" i="1"/>
  <c r="B35" i="1"/>
  <c r="B34" i="1"/>
  <c r="B33" i="1"/>
  <c r="K52" i="373" l="1"/>
  <c r="F87" i="373" l="1"/>
  <c r="G87" i="373" s="1"/>
  <c r="L87" i="373"/>
  <c r="L86" i="373"/>
  <c r="A87" i="373"/>
  <c r="A52" i="373" l="1"/>
  <c r="F52" i="373"/>
  <c r="G52" i="373" s="1"/>
  <c r="J16" i="373"/>
  <c r="G51" i="373" l="1"/>
  <c r="A51" i="373"/>
  <c r="K51" i="373"/>
  <c r="F51" i="373" s="1"/>
  <c r="J15" i="373"/>
  <c r="K50" i="373" l="1"/>
  <c r="F50" i="373" s="1"/>
  <c r="G50" i="373" s="1"/>
  <c r="A50" i="373"/>
  <c r="J14" i="373"/>
  <c r="X72" i="373" l="1"/>
  <c r="S72" i="373" s="1"/>
  <c r="T72" i="373" s="1"/>
  <c r="U36" i="373"/>
  <c r="V36" i="373"/>
  <c r="N72" i="373"/>
  <c r="Y72" i="373" l="1"/>
  <c r="X53" i="373" l="1"/>
  <c r="S53" i="373" s="1"/>
  <c r="T53" i="373" s="1"/>
  <c r="X54" i="373"/>
  <c r="S54" i="373" s="1"/>
  <c r="T54" i="373" s="1"/>
  <c r="Z73" i="373"/>
  <c r="Z72" i="373"/>
  <c r="U17" i="373"/>
  <c r="U18" i="373"/>
  <c r="W54" i="373"/>
  <c r="V54" i="373"/>
  <c r="W53" i="373"/>
  <c r="V53" i="373"/>
  <c r="N53" i="373"/>
  <c r="N54" i="373"/>
  <c r="AF73" i="373" l="1"/>
  <c r="AF72" i="373"/>
  <c r="F16" i="350" l="1"/>
  <c r="E33" i="373" l="1"/>
  <c r="A85" i="373" l="1"/>
  <c r="A86" i="373"/>
  <c r="J33" i="373"/>
  <c r="K69" i="373"/>
  <c r="J69" i="373"/>
  <c r="I69" i="373"/>
  <c r="F69" i="373" l="1"/>
  <c r="W52" i="373"/>
  <c r="V52" i="373"/>
  <c r="X52" i="373"/>
  <c r="S52" i="373" s="1"/>
  <c r="T52" i="373" s="1"/>
  <c r="N52" i="373"/>
  <c r="U16" i="373"/>
  <c r="G69" i="373" l="1"/>
  <c r="F86" i="373"/>
  <c r="G86" i="373" s="1"/>
  <c r="K68" i="373"/>
  <c r="J68" i="373"/>
  <c r="I68" i="373"/>
  <c r="K67" i="373"/>
  <c r="J67" i="373"/>
  <c r="I67" i="373"/>
  <c r="F67" i="373"/>
  <c r="G67" i="373" s="1"/>
  <c r="J32" i="373"/>
  <c r="J31" i="373"/>
  <c r="F68" i="373" l="1"/>
  <c r="G68" i="373" s="1"/>
  <c r="BE11" i="372"/>
  <c r="BE10" i="372"/>
  <c r="BE9" i="372"/>
  <c r="BE8" i="372"/>
  <c r="BE35" i="372" l="1"/>
  <c r="G7" i="372"/>
  <c r="N7" i="372"/>
  <c r="BH8" i="372"/>
  <c r="AY8" i="372"/>
  <c r="BH9" i="372"/>
  <c r="BG9" i="372" s="1"/>
  <c r="AN8" i="372"/>
  <c r="AH8" i="372"/>
  <c r="AB8" i="372"/>
  <c r="U8" i="372"/>
  <c r="BH11" i="372"/>
  <c r="BH10" i="372"/>
  <c r="BG11" i="372"/>
  <c r="BG10" i="372"/>
  <c r="BG8" i="372"/>
  <c r="BH4" i="372" l="1"/>
  <c r="BH5" i="372"/>
  <c r="AY11" i="372" l="1"/>
  <c r="AX11" i="372"/>
  <c r="AY10" i="372"/>
  <c r="AX10" i="372"/>
  <c r="AX9" i="372"/>
  <c r="AY5" i="372" s="1"/>
  <c r="AX8" i="372"/>
  <c r="AY4" i="372" l="1"/>
  <c r="S97" i="373" l="1"/>
  <c r="AK97" i="373" l="1"/>
  <c r="S99" i="373"/>
  <c r="AK99" i="373" l="1"/>
  <c r="Q94" i="373"/>
  <c r="T99" i="373"/>
  <c r="N99" i="373"/>
  <c r="S98" i="373"/>
  <c r="AA99" i="373" s="1"/>
  <c r="N98" i="373"/>
  <c r="T97" i="373"/>
  <c r="N97" i="373"/>
  <c r="S96" i="373"/>
  <c r="N96" i="373"/>
  <c r="S92" i="373"/>
  <c r="N92" i="373"/>
  <c r="S91" i="373"/>
  <c r="N91" i="373"/>
  <c r="S90" i="373"/>
  <c r="N90" i="373"/>
  <c r="S89" i="373"/>
  <c r="N89" i="373"/>
  <c r="Q87" i="373"/>
  <c r="Q80" i="373"/>
  <c r="S85" i="373"/>
  <c r="N85" i="373"/>
  <c r="S84" i="373"/>
  <c r="N84" i="373"/>
  <c r="S83" i="373"/>
  <c r="N83" i="373"/>
  <c r="S82" i="373"/>
  <c r="N82" i="373"/>
  <c r="Q74" i="373"/>
  <c r="S78" i="373"/>
  <c r="N78" i="373"/>
  <c r="S77" i="373"/>
  <c r="N77" i="373"/>
  <c r="S76" i="373"/>
  <c r="N76" i="373"/>
  <c r="D74" i="373"/>
  <c r="A84" i="373"/>
  <c r="A83" i="373"/>
  <c r="A82" i="373"/>
  <c r="A81" i="373"/>
  <c r="A80" i="373"/>
  <c r="A79" i="373"/>
  <c r="A78" i="373"/>
  <c r="A77" i="373"/>
  <c r="A76" i="373"/>
  <c r="T77" i="373" l="1"/>
  <c r="AA77" i="373"/>
  <c r="T82" i="373"/>
  <c r="AB82" i="373"/>
  <c r="AK82" i="373"/>
  <c r="AA82" i="373"/>
  <c r="T84" i="373"/>
  <c r="AB84" i="373"/>
  <c r="AK84" i="373"/>
  <c r="AA84" i="373"/>
  <c r="T90" i="373"/>
  <c r="AK90" i="373"/>
  <c r="AA90" i="373"/>
  <c r="T92" i="373"/>
  <c r="AA92" i="373"/>
  <c r="AK92" i="373"/>
  <c r="T76" i="373"/>
  <c r="AA76" i="373"/>
  <c r="T78" i="373"/>
  <c r="AA78" i="373"/>
  <c r="T83" i="373"/>
  <c r="AB83" i="373"/>
  <c r="AK83" i="373"/>
  <c r="AA83" i="373"/>
  <c r="T85" i="373"/>
  <c r="AB85" i="373"/>
  <c r="AA85" i="373"/>
  <c r="AK85" i="373"/>
  <c r="T89" i="373"/>
  <c r="AK89" i="373"/>
  <c r="AA89" i="373"/>
  <c r="T91" i="373"/>
  <c r="AK91" i="373"/>
  <c r="AA91" i="373"/>
  <c r="T96" i="373"/>
  <c r="AK96" i="373"/>
  <c r="AA96" i="373"/>
  <c r="T98" i="373"/>
  <c r="AK98" i="373"/>
  <c r="AA98" i="373"/>
  <c r="AA97" i="373"/>
  <c r="K42" i="373"/>
  <c r="K43" i="373"/>
  <c r="K44" i="373"/>
  <c r="K45" i="373"/>
  <c r="K46" i="373"/>
  <c r="K47" i="373"/>
  <c r="K48" i="373"/>
  <c r="K49" i="373"/>
  <c r="V6" i="373"/>
  <c r="V10" i="373"/>
  <c r="N42" i="373"/>
  <c r="N46" i="373"/>
  <c r="V46" i="373"/>
  <c r="W46" i="373"/>
  <c r="V42" i="373"/>
  <c r="W42" i="373"/>
  <c r="X46" i="373"/>
  <c r="S46" i="373" s="1"/>
  <c r="X42" i="373"/>
  <c r="S42" i="373" s="1"/>
  <c r="T42" i="373" s="1"/>
  <c r="T46" i="373" l="1"/>
  <c r="AB76" i="373"/>
  <c r="AC76" i="373" s="1"/>
  <c r="AL83" i="373"/>
  <c r="AL84" i="373"/>
  <c r="AL82" i="373"/>
  <c r="AC85" i="373"/>
  <c r="AL85" i="373"/>
  <c r="AC83" i="373"/>
  <c r="AC84" i="373"/>
  <c r="Z46" i="373"/>
  <c r="Z42" i="373"/>
  <c r="U10" i="373"/>
  <c r="U6" i="373"/>
  <c r="AE71" i="373"/>
  <c r="X71" i="373"/>
  <c r="N71" i="373"/>
  <c r="AE70" i="373"/>
  <c r="X70" i="373"/>
  <c r="S70" i="373" s="1"/>
  <c r="N70" i="373"/>
  <c r="AE69" i="373"/>
  <c r="X69" i="373"/>
  <c r="S69" i="373" s="1"/>
  <c r="N69" i="373"/>
  <c r="AE68" i="373"/>
  <c r="X68" i="373"/>
  <c r="S68" i="373" s="1"/>
  <c r="N68" i="373"/>
  <c r="AE67" i="373"/>
  <c r="X67" i="373"/>
  <c r="N67" i="373"/>
  <c r="AE66" i="373"/>
  <c r="X66" i="373"/>
  <c r="Y66" i="373" s="1"/>
  <c r="N66" i="373"/>
  <c r="K66" i="373"/>
  <c r="J66" i="373"/>
  <c r="I66" i="373"/>
  <c r="A66" i="373"/>
  <c r="AE65" i="373"/>
  <c r="X65" i="373"/>
  <c r="N65" i="373"/>
  <c r="K65" i="373"/>
  <c r="J65" i="373"/>
  <c r="I65" i="373"/>
  <c r="A65" i="373"/>
  <c r="AE64" i="373"/>
  <c r="X64" i="373"/>
  <c r="S64" i="373" s="1"/>
  <c r="AB96" i="373" s="1"/>
  <c r="N64" i="373"/>
  <c r="K64" i="373"/>
  <c r="A64" i="373"/>
  <c r="AE63" i="373"/>
  <c r="X63" i="373"/>
  <c r="S63" i="373" s="1"/>
  <c r="N63" i="373"/>
  <c r="K63" i="373"/>
  <c r="J63" i="373"/>
  <c r="I63" i="373"/>
  <c r="A63" i="373"/>
  <c r="AE62" i="373"/>
  <c r="X62" i="373"/>
  <c r="S62" i="373" s="1"/>
  <c r="N62" i="373"/>
  <c r="K62" i="373"/>
  <c r="J62" i="373"/>
  <c r="I62" i="373"/>
  <c r="A62" i="373"/>
  <c r="AE61" i="373"/>
  <c r="X61" i="373"/>
  <c r="N61" i="373"/>
  <c r="K61" i="373"/>
  <c r="J61" i="373"/>
  <c r="I61" i="373"/>
  <c r="A61" i="373"/>
  <c r="AE60" i="373"/>
  <c r="X60" i="373"/>
  <c r="S60" i="373" s="1"/>
  <c r="N60" i="373"/>
  <c r="K60" i="373"/>
  <c r="J60" i="373"/>
  <c r="I60" i="373"/>
  <c r="A60" i="373"/>
  <c r="AE59" i="373"/>
  <c r="X59" i="373"/>
  <c r="S59" i="373" s="1"/>
  <c r="N59" i="373"/>
  <c r="K59" i="373"/>
  <c r="J59" i="373"/>
  <c r="I59" i="373"/>
  <c r="A59" i="373"/>
  <c r="AE58" i="373"/>
  <c r="X58" i="373"/>
  <c r="N58" i="373"/>
  <c r="K58" i="373"/>
  <c r="J58" i="373"/>
  <c r="I58" i="373"/>
  <c r="A58" i="373"/>
  <c r="Q56" i="373"/>
  <c r="D56" i="373"/>
  <c r="X51" i="373"/>
  <c r="S51" i="373" s="1"/>
  <c r="W51" i="373"/>
  <c r="V51" i="373"/>
  <c r="N51" i="373"/>
  <c r="F49" i="373"/>
  <c r="E49" i="373"/>
  <c r="A49" i="373" s="1"/>
  <c r="X50" i="373"/>
  <c r="S50" i="373" s="1"/>
  <c r="W50" i="373"/>
  <c r="V50" i="373"/>
  <c r="N50" i="373"/>
  <c r="F48" i="373"/>
  <c r="E48" i="373"/>
  <c r="A48" i="373" s="1"/>
  <c r="X49" i="373"/>
  <c r="W49" i="373"/>
  <c r="V49" i="373"/>
  <c r="N49" i="373"/>
  <c r="F47" i="373"/>
  <c r="E47" i="373"/>
  <c r="A47" i="373" s="1"/>
  <c r="X48" i="373"/>
  <c r="S48" i="373" s="1"/>
  <c r="AB78" i="373" s="1"/>
  <c r="AC78" i="373" s="1"/>
  <c r="W48" i="373"/>
  <c r="V48" i="373"/>
  <c r="N48" i="373"/>
  <c r="F46" i="373"/>
  <c r="E46" i="373"/>
  <c r="A46" i="373" s="1"/>
  <c r="X47" i="373"/>
  <c r="W47" i="373"/>
  <c r="V47" i="373"/>
  <c r="N47" i="373"/>
  <c r="F45" i="373"/>
  <c r="A45" i="373"/>
  <c r="X45" i="373"/>
  <c r="S45" i="373" s="1"/>
  <c r="W45" i="373"/>
  <c r="V45" i="373"/>
  <c r="N45" i="373"/>
  <c r="F44" i="373"/>
  <c r="E44" i="373"/>
  <c r="A44" i="373" s="1"/>
  <c r="X44" i="373"/>
  <c r="S44" i="373" s="1"/>
  <c r="W44" i="373"/>
  <c r="V44" i="373"/>
  <c r="N44" i="373"/>
  <c r="F43" i="373"/>
  <c r="E43" i="373"/>
  <c r="A43" i="373" s="1"/>
  <c r="X43" i="373"/>
  <c r="W43" i="373"/>
  <c r="V43" i="373"/>
  <c r="N43" i="373"/>
  <c r="F42" i="373"/>
  <c r="E42" i="373"/>
  <c r="A42" i="373" s="1"/>
  <c r="X41" i="373"/>
  <c r="S41" i="373" s="1"/>
  <c r="W41" i="373"/>
  <c r="V41" i="373"/>
  <c r="N41" i="373"/>
  <c r="K41" i="373"/>
  <c r="F41" i="373" s="1"/>
  <c r="E41" i="373"/>
  <c r="A41" i="373" s="1"/>
  <c r="Q39" i="373"/>
  <c r="D39" i="373"/>
  <c r="V35" i="373"/>
  <c r="U35" i="373"/>
  <c r="V34" i="373"/>
  <c r="U34" i="373"/>
  <c r="V33" i="373"/>
  <c r="U33" i="373"/>
  <c r="V32" i="373"/>
  <c r="U32" i="373"/>
  <c r="V31" i="373"/>
  <c r="U31" i="373"/>
  <c r="V30" i="373"/>
  <c r="U30" i="373"/>
  <c r="J30" i="373"/>
  <c r="V29" i="373"/>
  <c r="U29" i="373"/>
  <c r="J29" i="373"/>
  <c r="V28" i="373"/>
  <c r="U28" i="373"/>
  <c r="J28" i="373"/>
  <c r="A28" i="373"/>
  <c r="V27" i="373"/>
  <c r="U27" i="373"/>
  <c r="K27" i="373"/>
  <c r="J27" i="373"/>
  <c r="V26" i="373"/>
  <c r="U26" i="373"/>
  <c r="K26" i="373"/>
  <c r="J26" i="373"/>
  <c r="V25" i="373"/>
  <c r="U25" i="373"/>
  <c r="K25" i="373"/>
  <c r="J25" i="373"/>
  <c r="V24" i="373"/>
  <c r="U24" i="373"/>
  <c r="K24" i="373"/>
  <c r="J24" i="373"/>
  <c r="V23" i="373"/>
  <c r="U23" i="373"/>
  <c r="K23" i="373"/>
  <c r="J23" i="373"/>
  <c r="V22" i="373"/>
  <c r="U22" i="373"/>
  <c r="K22" i="373"/>
  <c r="J22" i="373"/>
  <c r="U15" i="373"/>
  <c r="J13" i="373"/>
  <c r="U14" i="373"/>
  <c r="J12" i="373"/>
  <c r="U13" i="373"/>
  <c r="J11" i="373"/>
  <c r="A11" i="373"/>
  <c r="V12" i="373"/>
  <c r="U12" i="373"/>
  <c r="J10" i="373"/>
  <c r="V11" i="373"/>
  <c r="U11" i="373"/>
  <c r="J9" i="373"/>
  <c r="V9" i="373"/>
  <c r="U9" i="373"/>
  <c r="J8" i="373"/>
  <c r="V8" i="373"/>
  <c r="U8" i="373"/>
  <c r="J7" i="373"/>
  <c r="V7" i="373"/>
  <c r="U7" i="373"/>
  <c r="J6" i="373"/>
  <c r="V5" i="373"/>
  <c r="U5" i="373"/>
  <c r="J5" i="373"/>
  <c r="Y58" i="373" l="1"/>
  <c r="Y54" i="373"/>
  <c r="Y53" i="373"/>
  <c r="L69" i="373"/>
  <c r="L67" i="373"/>
  <c r="L68" i="373"/>
  <c r="Y42" i="373"/>
  <c r="Y52" i="373"/>
  <c r="AC96" i="373"/>
  <c r="AL96" i="373"/>
  <c r="AH63" i="373"/>
  <c r="F63" i="373"/>
  <c r="L65" i="373"/>
  <c r="Y43" i="373"/>
  <c r="Z45" i="373"/>
  <c r="Z48" i="373"/>
  <c r="T50" i="373"/>
  <c r="T60" i="373"/>
  <c r="AG60" i="373" s="1"/>
  <c r="F64" i="373"/>
  <c r="G64" i="373" s="1"/>
  <c r="Y46" i="373"/>
  <c r="F61" i="373"/>
  <c r="Z41" i="373"/>
  <c r="Z44" i="373"/>
  <c r="G45" i="373"/>
  <c r="T51" i="373"/>
  <c r="L60" i="373"/>
  <c r="AF62" i="373"/>
  <c r="Z64" i="373"/>
  <c r="T69" i="373"/>
  <c r="AG69" i="373" s="1"/>
  <c r="Y63" i="373"/>
  <c r="F65" i="373"/>
  <c r="Y67" i="373"/>
  <c r="AH68" i="373"/>
  <c r="Z68" i="373"/>
  <c r="AH59" i="373"/>
  <c r="Z59" i="373"/>
  <c r="L59" i="373"/>
  <c r="Y59" i="373"/>
  <c r="F60" i="373"/>
  <c r="L66" i="373"/>
  <c r="T41" i="373"/>
  <c r="Y51" i="373"/>
  <c r="Y64" i="373"/>
  <c r="S58" i="373"/>
  <c r="Y68" i="373"/>
  <c r="S67" i="373"/>
  <c r="G42" i="373"/>
  <c r="G48" i="373"/>
  <c r="Y62" i="373"/>
  <c r="AH64" i="373"/>
  <c r="F66" i="373"/>
  <c r="F84" i="373" s="1"/>
  <c r="G84" i="373" s="1"/>
  <c r="L58" i="373"/>
  <c r="S66" i="373"/>
  <c r="AB98" i="373" s="1"/>
  <c r="L63" i="373"/>
  <c r="Y45" i="373"/>
  <c r="T45" i="373"/>
  <c r="G46" i="373"/>
  <c r="G44" i="373"/>
  <c r="S43" i="373"/>
  <c r="T44" i="373"/>
  <c r="S47" i="373"/>
  <c r="AB77" i="373" s="1"/>
  <c r="AC77" i="373" s="1"/>
  <c r="Y49" i="373"/>
  <c r="G49" i="373"/>
  <c r="G43" i="373"/>
  <c r="T48" i="373"/>
  <c r="S65" i="373"/>
  <c r="Y65" i="373"/>
  <c r="AH70" i="373"/>
  <c r="Z70" i="373"/>
  <c r="AF70" i="373"/>
  <c r="S71" i="373"/>
  <c r="Y71" i="373"/>
  <c r="S49" i="373"/>
  <c r="F59" i="373"/>
  <c r="S61" i="373"/>
  <c r="Y61" i="373"/>
  <c r="AF66" i="373"/>
  <c r="G41" i="373"/>
  <c r="G47" i="373"/>
  <c r="F58" i="373"/>
  <c r="T59" i="373"/>
  <c r="AF59" i="373"/>
  <c r="AH60" i="373"/>
  <c r="Z60" i="373"/>
  <c r="AF60" i="373"/>
  <c r="AF64" i="373"/>
  <c r="T64" i="373"/>
  <c r="AH66" i="373"/>
  <c r="AF68" i="373"/>
  <c r="T68" i="373"/>
  <c r="AH69" i="373"/>
  <c r="Z69" i="373"/>
  <c r="AF69" i="373"/>
  <c r="AF63" i="373"/>
  <c r="T63" i="373"/>
  <c r="Y50" i="373"/>
  <c r="Y44" i="373"/>
  <c r="Y41" i="373"/>
  <c r="Y47" i="373"/>
  <c r="Y48" i="373"/>
  <c r="Z63" i="373"/>
  <c r="T70" i="373"/>
  <c r="F62" i="373"/>
  <c r="Z62" i="373"/>
  <c r="AH62" i="373"/>
  <c r="Y60" i="373"/>
  <c r="L62" i="373"/>
  <c r="T62" i="373"/>
  <c r="L64" i="373"/>
  <c r="Y69" i="373"/>
  <c r="Y70" i="373"/>
  <c r="L61" i="373"/>
  <c r="I28" i="359"/>
  <c r="J28" i="359"/>
  <c r="X2" i="350"/>
  <c r="T66" i="373" l="1"/>
  <c r="AI69" i="373"/>
  <c r="AB97" i="373"/>
  <c r="AH67" i="373"/>
  <c r="AB99" i="373"/>
  <c r="AC98" i="373"/>
  <c r="AL98" i="373"/>
  <c r="F81" i="373"/>
  <c r="G81" i="373" s="1"/>
  <c r="AB92" i="373"/>
  <c r="F80" i="373"/>
  <c r="G80" i="373" s="1"/>
  <c r="AB91" i="373"/>
  <c r="F76" i="373"/>
  <c r="G76" i="373" s="1"/>
  <c r="F82" i="373"/>
  <c r="G82" i="373" s="1"/>
  <c r="F79" i="373"/>
  <c r="G79" i="373" s="1"/>
  <c r="AB89" i="373"/>
  <c r="F78" i="373"/>
  <c r="G78" i="373" s="1"/>
  <c r="F77" i="373"/>
  <c r="G77" i="373" s="1"/>
  <c r="F83" i="373"/>
  <c r="G83" i="373" s="1"/>
  <c r="M63" i="373"/>
  <c r="M61" i="373"/>
  <c r="G63" i="373"/>
  <c r="G61" i="373"/>
  <c r="AD43" i="373"/>
  <c r="M60" i="373"/>
  <c r="AF67" i="373"/>
  <c r="T49" i="373"/>
  <c r="T47" i="373"/>
  <c r="AI60" i="373"/>
  <c r="Z66" i="373"/>
  <c r="T58" i="373"/>
  <c r="AI58" i="373" s="1"/>
  <c r="T67" i="373"/>
  <c r="AI67" i="373" s="1"/>
  <c r="AD41" i="373"/>
  <c r="Z43" i="373"/>
  <c r="G66" i="373"/>
  <c r="G65" i="373"/>
  <c r="Z58" i="373"/>
  <c r="Z67" i="373"/>
  <c r="G60" i="373"/>
  <c r="AH58" i="373"/>
  <c r="AF58" i="373"/>
  <c r="AD42" i="373"/>
  <c r="AD49" i="373"/>
  <c r="AD46" i="373"/>
  <c r="AD44" i="373"/>
  <c r="T43" i="373"/>
  <c r="Z47" i="373"/>
  <c r="AG70" i="373"/>
  <c r="AI70" i="373"/>
  <c r="AG63" i="373"/>
  <c r="AI63" i="373"/>
  <c r="AG64" i="373"/>
  <c r="AI64" i="373"/>
  <c r="AG68" i="373"/>
  <c r="AI68" i="373"/>
  <c r="T61" i="373"/>
  <c r="AH61" i="373"/>
  <c r="Z61" i="373"/>
  <c r="AF61" i="373"/>
  <c r="AI62" i="373"/>
  <c r="AG62" i="373"/>
  <c r="M62" i="373"/>
  <c r="G62" i="373"/>
  <c r="AD48" i="373"/>
  <c r="AD47" i="373" s="1"/>
  <c r="AG59" i="373"/>
  <c r="AI59" i="373"/>
  <c r="AG66" i="373"/>
  <c r="AI66" i="373"/>
  <c r="G59" i="373"/>
  <c r="M59" i="373"/>
  <c r="T71" i="373"/>
  <c r="AH71" i="373"/>
  <c r="Z71" i="373"/>
  <c r="AF71" i="373"/>
  <c r="AD45" i="373"/>
  <c r="M58" i="373"/>
  <c r="G58" i="373"/>
  <c r="T65" i="373"/>
  <c r="AH65" i="373"/>
  <c r="Z65" i="373"/>
  <c r="AF65" i="373"/>
  <c r="H18" i="350"/>
  <c r="J25" i="359"/>
  <c r="S2" i="350"/>
  <c r="K10" i="357"/>
  <c r="K11" i="357"/>
  <c r="G18" i="350" s="1"/>
  <c r="E18" i="350"/>
  <c r="J22" i="359"/>
  <c r="AG58" i="373" l="1"/>
  <c r="AC97" i="373"/>
  <c r="AL97" i="373"/>
  <c r="AL99" i="373"/>
  <c r="AC99" i="373"/>
  <c r="F85" i="373"/>
  <c r="G85" i="373" s="1"/>
  <c r="AB90" i="373"/>
  <c r="AC92" i="373"/>
  <c r="AL92" i="373"/>
  <c r="AL91" i="373"/>
  <c r="AC91" i="373"/>
  <c r="AL89" i="373"/>
  <c r="AC89" i="373"/>
  <c r="AG67" i="373"/>
  <c r="AI65" i="373"/>
  <c r="AG65" i="373"/>
  <c r="AI71" i="373"/>
  <c r="AG71" i="373"/>
  <c r="AI61" i="373"/>
  <c r="AG61" i="373"/>
  <c r="I18" i="350"/>
  <c r="J18" i="350" s="1"/>
  <c r="K24" i="359" s="1"/>
  <c r="J24" i="359" s="1"/>
  <c r="J26" i="359" s="1"/>
  <c r="K18" i="350"/>
  <c r="J121" i="351"/>
  <c r="I121" i="351"/>
  <c r="AC90" i="373" l="1"/>
  <c r="AL90" i="373"/>
  <c r="M18" i="350"/>
  <c r="Y84" i="372"/>
  <c r="R84" i="372"/>
  <c r="Y83" i="372"/>
  <c r="AB83" i="372" s="1"/>
  <c r="R83" i="372"/>
  <c r="N83" i="372"/>
  <c r="G83" i="372"/>
  <c r="AB82" i="372"/>
  <c r="Y82" i="372"/>
  <c r="R82" i="372"/>
  <c r="U83" i="372" s="1"/>
  <c r="N82" i="372"/>
  <c r="G82" i="372"/>
  <c r="Y81" i="372"/>
  <c r="R81" i="372"/>
  <c r="AB60" i="372"/>
  <c r="AA60" i="372"/>
  <c r="Y60" i="372"/>
  <c r="U60" i="372"/>
  <c r="T60" i="372"/>
  <c r="R60" i="372"/>
  <c r="N60" i="372"/>
  <c r="M60" i="372"/>
  <c r="G60" i="372"/>
  <c r="F60" i="372"/>
  <c r="AA59" i="372"/>
  <c r="Y59" i="372"/>
  <c r="AB59" i="372" s="1"/>
  <c r="T59" i="372"/>
  <c r="R59" i="372"/>
  <c r="U59" i="372" s="1"/>
  <c r="N59" i="372"/>
  <c r="M59" i="372"/>
  <c r="G59" i="372"/>
  <c r="G54" i="372" s="1"/>
  <c r="F59" i="372"/>
  <c r="AA58" i="372"/>
  <c r="Y58" i="372"/>
  <c r="R58" i="372"/>
  <c r="T58" i="372" s="1"/>
  <c r="M58" i="372"/>
  <c r="F58" i="372"/>
  <c r="AB57" i="372"/>
  <c r="AA57" i="372"/>
  <c r="Y57" i="372"/>
  <c r="U57" i="372"/>
  <c r="T57" i="372"/>
  <c r="R57" i="372"/>
  <c r="M57" i="372"/>
  <c r="F57" i="372"/>
  <c r="N54" i="372"/>
  <c r="N53" i="372"/>
  <c r="AA35" i="372"/>
  <c r="Y35" i="372"/>
  <c r="AB35" i="372" s="1"/>
  <c r="T35" i="372"/>
  <c r="R35" i="372"/>
  <c r="U35" i="372" s="1"/>
  <c r="N35" i="372"/>
  <c r="M35" i="372"/>
  <c r="G35" i="372"/>
  <c r="F35" i="372"/>
  <c r="AB34" i="372"/>
  <c r="AA34" i="372"/>
  <c r="Y34" i="372"/>
  <c r="U34" i="372"/>
  <c r="T34" i="372"/>
  <c r="R34" i="372"/>
  <c r="N34" i="372"/>
  <c r="M34" i="372"/>
  <c r="N28" i="372" s="1"/>
  <c r="G34" i="372"/>
  <c r="G28" i="372" s="1"/>
  <c r="F34" i="372"/>
  <c r="Y33" i="372"/>
  <c r="AA33" i="372" s="1"/>
  <c r="T33" i="372"/>
  <c r="U29" i="372" s="1"/>
  <c r="R33" i="372"/>
  <c r="M33" i="372"/>
  <c r="F33" i="372"/>
  <c r="AB32" i="372"/>
  <c r="AA32" i="372"/>
  <c r="Y32" i="372"/>
  <c r="U32" i="372"/>
  <c r="T32" i="372"/>
  <c r="R32" i="372"/>
  <c r="M32" i="372"/>
  <c r="F32" i="372"/>
  <c r="AN10" i="372"/>
  <c r="AM10" i="372"/>
  <c r="AK10" i="372"/>
  <c r="AH10" i="372"/>
  <c r="AG10" i="372"/>
  <c r="AE10" i="372"/>
  <c r="AA10" i="372"/>
  <c r="Y10" i="372"/>
  <c r="AB10" i="372" s="1"/>
  <c r="T10" i="372"/>
  <c r="R10" i="372"/>
  <c r="U10" i="372" s="1"/>
  <c r="N10" i="372"/>
  <c r="M10" i="372"/>
  <c r="G10" i="372"/>
  <c r="F10" i="372"/>
  <c r="AN9" i="372"/>
  <c r="AM9" i="372"/>
  <c r="AK9" i="372"/>
  <c r="AH9" i="372"/>
  <c r="AG9" i="372"/>
  <c r="AE9" i="372"/>
  <c r="AA9" i="372"/>
  <c r="Y9" i="372"/>
  <c r="AB9" i="372" s="1"/>
  <c r="T9" i="372"/>
  <c r="R9" i="372"/>
  <c r="U9" i="372" s="1"/>
  <c r="N9" i="372"/>
  <c r="M9" i="372"/>
  <c r="G9" i="372"/>
  <c r="F9" i="372"/>
  <c r="AM8" i="372"/>
  <c r="T8" i="372" s="1"/>
  <c r="AK8" i="372"/>
  <c r="AE8" i="372"/>
  <c r="AG8" i="372" s="1"/>
  <c r="AA8" i="372" s="1"/>
  <c r="Y8" i="372"/>
  <c r="R8" i="372"/>
  <c r="M8" i="372"/>
  <c r="N4" i="372" s="1"/>
  <c r="F8" i="372"/>
  <c r="AN7" i="372"/>
  <c r="AM7" i="372"/>
  <c r="AK7" i="372"/>
  <c r="AH7" i="372"/>
  <c r="AG7" i="372"/>
  <c r="AE7" i="372"/>
  <c r="AB7" i="372"/>
  <c r="AA7" i="372"/>
  <c r="Y7" i="372"/>
  <c r="U7" i="372"/>
  <c r="T7" i="372"/>
  <c r="R7" i="372"/>
  <c r="M7" i="372"/>
  <c r="F7" i="372"/>
  <c r="G4" i="372"/>
  <c r="G3" i="372"/>
  <c r="AB28" i="372" l="1"/>
  <c r="AB29" i="372"/>
  <c r="AB4" i="372"/>
  <c r="AB3" i="372"/>
  <c r="AB54" i="372"/>
  <c r="U4" i="372"/>
  <c r="U3" i="372"/>
  <c r="U54" i="372"/>
  <c r="U53" i="372"/>
  <c r="G29" i="372"/>
  <c r="N3" i="372"/>
  <c r="N29" i="372"/>
  <c r="AB53" i="372"/>
  <c r="U82" i="372"/>
  <c r="U28" i="372"/>
  <c r="G53" i="372"/>
  <c r="Y9" i="371" l="1"/>
  <c r="AB9" i="371" l="1"/>
  <c r="AG10" i="371"/>
  <c r="AE10" i="371"/>
  <c r="AH10" i="371" s="1"/>
  <c r="AB10" i="371"/>
  <c r="AA10" i="371"/>
  <c r="Y10" i="371"/>
  <c r="T10" i="371"/>
  <c r="R10" i="371"/>
  <c r="U10" i="371" s="1"/>
  <c r="N10" i="371"/>
  <c r="M10" i="371"/>
  <c r="G10" i="371"/>
  <c r="F10" i="371"/>
  <c r="AG9" i="371"/>
  <c r="AE9" i="371"/>
  <c r="AH9" i="371" s="1"/>
  <c r="AA9" i="371"/>
  <c r="T9" i="371"/>
  <c r="R9" i="371"/>
  <c r="U9" i="371" s="1"/>
  <c r="N9" i="371"/>
  <c r="M9" i="371"/>
  <c r="G9" i="371"/>
  <c r="F9" i="371"/>
  <c r="AE8" i="371"/>
  <c r="AG8" i="371" s="1"/>
  <c r="AA8" i="371" s="1"/>
  <c r="Y8" i="371"/>
  <c r="R8" i="371"/>
  <c r="M8" i="371"/>
  <c r="F8" i="371"/>
  <c r="AH7" i="371"/>
  <c r="AG7" i="371"/>
  <c r="AE7" i="371"/>
  <c r="AB7" i="371"/>
  <c r="AA7" i="371"/>
  <c r="Y7" i="371"/>
  <c r="U7" i="371"/>
  <c r="T7" i="371"/>
  <c r="R7" i="371"/>
  <c r="M7" i="371"/>
  <c r="F7" i="371"/>
  <c r="G3" i="371" l="1"/>
  <c r="N4" i="371"/>
  <c r="G4" i="371"/>
  <c r="T8" i="371"/>
  <c r="U3" i="371" s="1"/>
  <c r="AB4" i="371"/>
  <c r="AB3" i="371"/>
  <c r="N3" i="371"/>
  <c r="Y109" i="371"/>
  <c r="R109" i="371"/>
  <c r="Y108" i="371"/>
  <c r="R108" i="371"/>
  <c r="U108" i="371" s="1"/>
  <c r="N108" i="371"/>
  <c r="G108" i="371"/>
  <c r="Y107" i="371"/>
  <c r="AB108" i="371" s="1"/>
  <c r="U107" i="371"/>
  <c r="R107" i="371"/>
  <c r="N107" i="371"/>
  <c r="G107" i="371"/>
  <c r="Y106" i="371"/>
  <c r="R106" i="371"/>
  <c r="AA85" i="371"/>
  <c r="Y85" i="371"/>
  <c r="AB85" i="371" s="1"/>
  <c r="T85" i="371"/>
  <c r="R85" i="371"/>
  <c r="U85" i="371" s="1"/>
  <c r="N85" i="371"/>
  <c r="M85" i="371"/>
  <c r="G85" i="371"/>
  <c r="F85" i="371"/>
  <c r="AA84" i="371"/>
  <c r="Y84" i="371"/>
  <c r="AB84" i="371" s="1"/>
  <c r="T84" i="371"/>
  <c r="R84" i="371"/>
  <c r="U84" i="371" s="1"/>
  <c r="N84" i="371"/>
  <c r="M84" i="371"/>
  <c r="G84" i="371"/>
  <c r="F84" i="371"/>
  <c r="Y83" i="371"/>
  <c r="AA83" i="371" s="1"/>
  <c r="AB79" i="371" s="1"/>
  <c r="R83" i="371"/>
  <c r="T83" i="371" s="1"/>
  <c r="M83" i="371"/>
  <c r="F83" i="371"/>
  <c r="AB82" i="371"/>
  <c r="AA82" i="371"/>
  <c r="Y82" i="371"/>
  <c r="U82" i="371"/>
  <c r="T82" i="371"/>
  <c r="R82" i="371"/>
  <c r="M82" i="371"/>
  <c r="F82" i="371"/>
  <c r="AA60" i="371"/>
  <c r="Y60" i="371"/>
  <c r="AB60" i="371" s="1"/>
  <c r="T60" i="371"/>
  <c r="R60" i="371"/>
  <c r="U60" i="371" s="1"/>
  <c r="N60" i="371"/>
  <c r="M60" i="371"/>
  <c r="G60" i="371"/>
  <c r="F60" i="371"/>
  <c r="AA59" i="371"/>
  <c r="Y59" i="371"/>
  <c r="AB59" i="371" s="1"/>
  <c r="T59" i="371"/>
  <c r="R59" i="371"/>
  <c r="U59" i="371" s="1"/>
  <c r="N59" i="371"/>
  <c r="M59" i="371"/>
  <c r="G59" i="371"/>
  <c r="F59" i="371"/>
  <c r="Y58" i="371"/>
  <c r="T58" i="371"/>
  <c r="R58" i="371"/>
  <c r="M58" i="371"/>
  <c r="F58" i="371"/>
  <c r="AB57" i="371"/>
  <c r="AA57" i="371"/>
  <c r="Y57" i="371"/>
  <c r="U57" i="371"/>
  <c r="T57" i="371"/>
  <c r="R57" i="371"/>
  <c r="M57" i="371"/>
  <c r="F57" i="371"/>
  <c r="N53" i="371"/>
  <c r="AA35" i="371"/>
  <c r="Y35" i="371"/>
  <c r="AB35" i="371" s="1"/>
  <c r="T35" i="371"/>
  <c r="R35" i="371"/>
  <c r="U35" i="371" s="1"/>
  <c r="N35" i="371"/>
  <c r="M35" i="371"/>
  <c r="G35" i="371"/>
  <c r="F35" i="371"/>
  <c r="AA34" i="371"/>
  <c r="Y34" i="371"/>
  <c r="AB34" i="371" s="1"/>
  <c r="U34" i="371"/>
  <c r="T34" i="371"/>
  <c r="R34" i="371"/>
  <c r="N34" i="371"/>
  <c r="M34" i="371"/>
  <c r="G34" i="371"/>
  <c r="F34" i="371"/>
  <c r="Y33" i="371"/>
  <c r="R33" i="371"/>
  <c r="M33" i="371"/>
  <c r="F33" i="371"/>
  <c r="AB32" i="371"/>
  <c r="AA32" i="371"/>
  <c r="Y32" i="371"/>
  <c r="U32" i="371"/>
  <c r="T32" i="371"/>
  <c r="R32" i="371"/>
  <c r="M32" i="371"/>
  <c r="F32" i="371"/>
  <c r="N54" i="371" l="1"/>
  <c r="AA58" i="371"/>
  <c r="AB53" i="371" s="1"/>
  <c r="N29" i="371"/>
  <c r="G29" i="371"/>
  <c r="U29" i="371"/>
  <c r="G54" i="371"/>
  <c r="N79" i="371"/>
  <c r="U4" i="371"/>
  <c r="AB54" i="371"/>
  <c r="U79" i="371"/>
  <c r="AB78" i="371"/>
  <c r="N28" i="371"/>
  <c r="N78" i="371"/>
  <c r="G79" i="371"/>
  <c r="AB107" i="371"/>
  <c r="AB29" i="371"/>
  <c r="AB28" i="371"/>
  <c r="U54" i="371"/>
  <c r="G28" i="371"/>
  <c r="G53" i="371"/>
  <c r="U78" i="371"/>
  <c r="U28" i="371"/>
  <c r="U53" i="371"/>
  <c r="G78" i="371"/>
  <c r="U11" i="368" l="1"/>
  <c r="V41" i="368" l="1"/>
  <c r="W41" i="368"/>
  <c r="C39" i="359" l="1"/>
  <c r="D39" i="359" l="1"/>
  <c r="D33" i="359"/>
  <c r="E17" i="350"/>
  <c r="D36" i="359" l="1"/>
  <c r="G17" i="350"/>
  <c r="H17" i="350" s="1"/>
  <c r="O2" i="350"/>
  <c r="I17" i="350" l="1"/>
  <c r="J17" i="350" s="1"/>
  <c r="K17" i="350"/>
  <c r="D28" i="359"/>
  <c r="C28" i="359"/>
  <c r="D25" i="359"/>
  <c r="D22" i="359"/>
  <c r="G16" i="350"/>
  <c r="E16" i="350"/>
  <c r="F62" i="368"/>
  <c r="G62" i="368" s="1"/>
  <c r="F63" i="368"/>
  <c r="G63" i="368" s="1"/>
  <c r="F64" i="368"/>
  <c r="G64" i="368" s="1"/>
  <c r="F65" i="368"/>
  <c r="F66" i="368"/>
  <c r="F67" i="368"/>
  <c r="G67" i="368" s="1"/>
  <c r="F68" i="368"/>
  <c r="G68" i="368" s="1"/>
  <c r="F69" i="368"/>
  <c r="F70" i="368"/>
  <c r="G70" i="368" s="1"/>
  <c r="F71" i="368"/>
  <c r="G69" i="368"/>
  <c r="D60" i="368"/>
  <c r="A70" i="368"/>
  <c r="A69" i="368"/>
  <c r="A68" i="368"/>
  <c r="A67" i="368"/>
  <c r="G66" i="368"/>
  <c r="A66" i="368"/>
  <c r="G65" i="368"/>
  <c r="A65" i="368"/>
  <c r="A64" i="368"/>
  <c r="A63" i="368"/>
  <c r="A62" i="368"/>
  <c r="M17" i="350" l="1"/>
  <c r="E35" i="359"/>
  <c r="D35" i="359" s="1"/>
  <c r="D37" i="359" s="1"/>
  <c r="H16" i="350"/>
  <c r="K57" i="368"/>
  <c r="F57" i="368" s="1"/>
  <c r="L28" i="368" l="1"/>
  <c r="A23" i="368"/>
  <c r="A11" i="368"/>
  <c r="M8" i="356" l="1"/>
  <c r="G71" i="351" l="1"/>
  <c r="F71" i="351"/>
  <c r="E71" i="351"/>
  <c r="D71" i="351"/>
  <c r="C71" i="351"/>
  <c r="G65" i="351"/>
  <c r="F65" i="351"/>
  <c r="E65" i="351"/>
  <c r="D65" i="351"/>
  <c r="C65" i="351"/>
  <c r="N10" i="370" l="1"/>
  <c r="G3" i="359" l="1"/>
  <c r="F3" i="359"/>
  <c r="E3" i="359"/>
  <c r="D3" i="359"/>
  <c r="C3" i="359"/>
  <c r="C13" i="370" l="1"/>
  <c r="C14" i="370"/>
  <c r="C15" i="370"/>
  <c r="C16" i="370"/>
  <c r="C17" i="370"/>
  <c r="C18" i="370"/>
  <c r="C19" i="370"/>
  <c r="C20" i="370"/>
  <c r="C12" i="370"/>
  <c r="B17" i="370"/>
  <c r="A23" i="370"/>
  <c r="A22" i="370"/>
  <c r="A21" i="370"/>
  <c r="A20" i="370"/>
  <c r="A19" i="370"/>
  <c r="A18" i="370"/>
  <c r="A17" i="370"/>
  <c r="A16" i="370"/>
  <c r="A15" i="370"/>
  <c r="A14" i="370"/>
  <c r="A13" i="370"/>
  <c r="A12" i="370"/>
  <c r="B13" i="370"/>
  <c r="B14" i="370"/>
  <c r="B15" i="370"/>
  <c r="B16" i="370"/>
  <c r="B18" i="370"/>
  <c r="B19" i="370"/>
  <c r="B20" i="370"/>
  <c r="B21" i="370"/>
  <c r="B22" i="370"/>
  <c r="B23" i="370"/>
  <c r="B12" i="370"/>
  <c r="M8" i="370" l="1"/>
  <c r="I8" i="370"/>
  <c r="G8" i="370"/>
  <c r="K7" i="370"/>
  <c r="M7" i="370"/>
  <c r="E7" i="370"/>
  <c r="I7" i="370"/>
  <c r="G7" i="370"/>
  <c r="K6" i="370"/>
  <c r="M6" i="370"/>
  <c r="E6" i="370"/>
  <c r="I6" i="370"/>
  <c r="G6" i="370"/>
  <c r="K5" i="370"/>
  <c r="M5" i="370"/>
  <c r="E5" i="370"/>
  <c r="I5" i="370"/>
  <c r="G5" i="370"/>
  <c r="I10" i="370" l="1"/>
  <c r="M10" i="370"/>
  <c r="M20" i="370"/>
  <c r="M16" i="370"/>
  <c r="M12" i="370"/>
  <c r="M19" i="370"/>
  <c r="M15" i="370"/>
  <c r="M18" i="370"/>
  <c r="M14" i="370"/>
  <c r="M17" i="370"/>
  <c r="M13" i="370"/>
  <c r="N13" i="370" s="1"/>
  <c r="K10" i="370"/>
  <c r="E10" i="370"/>
  <c r="K18" i="370"/>
  <c r="K14" i="370"/>
  <c r="K17" i="370"/>
  <c r="K13" i="370"/>
  <c r="L13" i="370" s="1"/>
  <c r="K20" i="370"/>
  <c r="K16" i="370"/>
  <c r="K12" i="370"/>
  <c r="K19" i="370"/>
  <c r="L19" i="370" s="1"/>
  <c r="K15" i="370"/>
  <c r="G22" i="370"/>
  <c r="G18" i="370"/>
  <c r="G14" i="370"/>
  <c r="G21" i="370"/>
  <c r="G17" i="370"/>
  <c r="G13" i="370"/>
  <c r="G20" i="370"/>
  <c r="G16" i="370"/>
  <c r="G12" i="370"/>
  <c r="H12" i="370" s="1"/>
  <c r="G23" i="370"/>
  <c r="G19" i="370"/>
  <c r="G15" i="370"/>
  <c r="E12" i="370"/>
  <c r="E20" i="370"/>
  <c r="E16" i="370"/>
  <c r="I22" i="370"/>
  <c r="I18" i="370"/>
  <c r="I13" i="370"/>
  <c r="I21" i="370"/>
  <c r="I16" i="370"/>
  <c r="I12" i="370"/>
  <c r="I20" i="370"/>
  <c r="I15" i="370"/>
  <c r="I23" i="370"/>
  <c r="I19" i="370"/>
  <c r="I14" i="370"/>
  <c r="E23" i="370"/>
  <c r="E19" i="370"/>
  <c r="E15" i="370"/>
  <c r="E22" i="370"/>
  <c r="E18" i="370"/>
  <c r="E14" i="370"/>
  <c r="E21" i="370"/>
  <c r="E17" i="370"/>
  <c r="F17" i="370" s="1"/>
  <c r="E13" i="370"/>
  <c r="I17" i="370"/>
  <c r="J17" i="370" s="1"/>
  <c r="G10" i="370"/>
  <c r="X41" i="368"/>
  <c r="S41" i="368" s="1"/>
  <c r="F15" i="370" l="1"/>
  <c r="J15" i="370"/>
  <c r="J21" i="370"/>
  <c r="H19" i="370"/>
  <c r="H20" i="370"/>
  <c r="H14" i="370"/>
  <c r="N14" i="370"/>
  <c r="N12" i="370"/>
  <c r="F22" i="370"/>
  <c r="F20" i="370"/>
  <c r="N18" i="370"/>
  <c r="N16" i="370"/>
  <c r="N15" i="370"/>
  <c r="N20" i="370"/>
  <c r="H15" i="370"/>
  <c r="H16" i="370"/>
  <c r="H21" i="370"/>
  <c r="N17" i="370"/>
  <c r="N19" i="370"/>
  <c r="L12" i="370"/>
  <c r="L17" i="370"/>
  <c r="F12" i="370"/>
  <c r="L16" i="370"/>
  <c r="L14" i="370"/>
  <c r="F19" i="370"/>
  <c r="F16" i="370"/>
  <c r="F14" i="370"/>
  <c r="F13" i="370"/>
  <c r="F18" i="370"/>
  <c r="F23" i="370"/>
  <c r="L15" i="370"/>
  <c r="L20" i="370"/>
  <c r="L18" i="370"/>
  <c r="J14" i="370"/>
  <c r="J20" i="370"/>
  <c r="J13" i="370"/>
  <c r="F21" i="370"/>
  <c r="J19" i="370"/>
  <c r="J12" i="370"/>
  <c r="J18" i="370"/>
  <c r="H13" i="370"/>
  <c r="H18" i="370"/>
  <c r="J23" i="370"/>
  <c r="J16" i="370"/>
  <c r="J22" i="370"/>
  <c r="H23" i="370"/>
  <c r="H17" i="370"/>
  <c r="H22" i="370"/>
  <c r="X61" i="368"/>
  <c r="X60" i="368"/>
  <c r="X59" i="368"/>
  <c r="X55" i="368"/>
  <c r="X57" i="368"/>
  <c r="X56" i="368"/>
  <c r="H5" i="370" l="1"/>
  <c r="C4" i="359" s="1"/>
  <c r="F6" i="370"/>
  <c r="E5" i="359" s="1"/>
  <c r="N7" i="370"/>
  <c r="F6" i="359" s="1"/>
  <c r="F7" i="370"/>
  <c r="E6" i="359" s="1"/>
  <c r="H8" i="370"/>
  <c r="C7" i="359" s="1"/>
  <c r="H7" i="370"/>
  <c r="C6" i="359" s="1"/>
  <c r="F5" i="370"/>
  <c r="E4" i="359" s="1"/>
  <c r="J6" i="370"/>
  <c r="D5" i="359" s="1"/>
  <c r="J5" i="370"/>
  <c r="D4" i="359" s="1"/>
  <c r="J8" i="370"/>
  <c r="D7" i="359" s="1"/>
  <c r="J7" i="370"/>
  <c r="D6" i="359" s="1"/>
  <c r="H6" i="370"/>
  <c r="C5" i="359" s="1"/>
  <c r="X54" i="368"/>
  <c r="X53" i="368"/>
  <c r="X51" i="368"/>
  <c r="X50" i="368"/>
  <c r="X49" i="368"/>
  <c r="X48" i="368"/>
  <c r="X52" i="368"/>
  <c r="N57" i="368"/>
  <c r="N58" i="368"/>
  <c r="N59" i="368"/>
  <c r="N60" i="368"/>
  <c r="N61" i="368"/>
  <c r="J23" i="368"/>
  <c r="K56" i="368"/>
  <c r="K55" i="368"/>
  <c r="K54" i="368"/>
  <c r="K53" i="368"/>
  <c r="K52" i="368"/>
  <c r="K51" i="368"/>
  <c r="K50" i="368"/>
  <c r="K49" i="368"/>
  <c r="K48" i="368"/>
  <c r="F10" i="370" l="1"/>
  <c r="J10" i="370"/>
  <c r="H10" i="370"/>
  <c r="F48" i="368"/>
  <c r="M48" i="368" s="1"/>
  <c r="X43" i="368"/>
  <c r="S43" i="368" s="1"/>
  <c r="T43" i="368" s="1"/>
  <c r="X42" i="368"/>
  <c r="X40" i="368"/>
  <c r="S40" i="368" s="1"/>
  <c r="X39" i="368"/>
  <c r="Y38" i="368" s="1"/>
  <c r="X38" i="368"/>
  <c r="X37" i="368"/>
  <c r="S37" i="368" s="1"/>
  <c r="X36" i="368"/>
  <c r="Y36" i="368"/>
  <c r="X35" i="368"/>
  <c r="Y35" i="368"/>
  <c r="K37" i="368"/>
  <c r="K43" i="368"/>
  <c r="K42" i="368"/>
  <c r="K41" i="368"/>
  <c r="K40" i="368"/>
  <c r="K39" i="368"/>
  <c r="K38" i="368"/>
  <c r="K36" i="368"/>
  <c r="K35" i="368"/>
  <c r="J11" i="368"/>
  <c r="J12" i="368"/>
  <c r="J13" i="368"/>
  <c r="AI61" i="368"/>
  <c r="AE61" i="368"/>
  <c r="S61" i="368"/>
  <c r="T61" i="368"/>
  <c r="AG61" i="368" s="1"/>
  <c r="AE60" i="368"/>
  <c r="S60" i="368"/>
  <c r="Z60" i="368" s="1"/>
  <c r="AE59" i="368"/>
  <c r="S59" i="368"/>
  <c r="AF59" i="368" s="1"/>
  <c r="AE58" i="368"/>
  <c r="X58" i="368"/>
  <c r="AE57" i="368"/>
  <c r="S57" i="368"/>
  <c r="AE56" i="368"/>
  <c r="S56" i="368"/>
  <c r="N56" i="368"/>
  <c r="L56" i="368"/>
  <c r="J56" i="368"/>
  <c r="I56" i="368"/>
  <c r="F56" i="368"/>
  <c r="G56" i="368" s="1"/>
  <c r="A56" i="368"/>
  <c r="AE55" i="368"/>
  <c r="N55" i="368"/>
  <c r="L55" i="368"/>
  <c r="J55" i="368"/>
  <c r="I55" i="368"/>
  <c r="F55" i="368"/>
  <c r="G55" i="368" s="1"/>
  <c r="A55" i="368"/>
  <c r="AE54" i="368"/>
  <c r="S54" i="368"/>
  <c r="Z54" i="368" s="1"/>
  <c r="N54" i="368"/>
  <c r="A54" i="368"/>
  <c r="AE53" i="368"/>
  <c r="S53" i="368"/>
  <c r="N53" i="368"/>
  <c r="L53" i="368"/>
  <c r="J53" i="368"/>
  <c r="I53" i="368"/>
  <c r="F53" i="368"/>
  <c r="A53" i="368"/>
  <c r="AE52" i="368"/>
  <c r="S52" i="368"/>
  <c r="AF52" i="368" s="1"/>
  <c r="N52" i="368"/>
  <c r="L51" i="368"/>
  <c r="J52" i="368"/>
  <c r="I52" i="368"/>
  <c r="F52" i="368"/>
  <c r="M52" i="368" s="1"/>
  <c r="A52" i="368"/>
  <c r="AE51" i="368"/>
  <c r="N51" i="368"/>
  <c r="J51" i="368"/>
  <c r="I51" i="368"/>
  <c r="F51" i="368"/>
  <c r="G51" i="368" s="1"/>
  <c r="A51" i="368"/>
  <c r="AE50" i="368"/>
  <c r="S50" i="368"/>
  <c r="T50" i="368"/>
  <c r="AG50" i="368" s="1"/>
  <c r="N50" i="368"/>
  <c r="M50" i="368"/>
  <c r="L50" i="368"/>
  <c r="J50" i="368"/>
  <c r="I50" i="368"/>
  <c r="G50" i="368"/>
  <c r="F50" i="368"/>
  <c r="A50" i="368"/>
  <c r="AE49" i="368"/>
  <c r="S49" i="368"/>
  <c r="Z49" i="368" s="1"/>
  <c r="N49" i="368"/>
  <c r="L49" i="368"/>
  <c r="J49" i="368"/>
  <c r="I49" i="368"/>
  <c r="F49" i="368"/>
  <c r="A49" i="368"/>
  <c r="AE48" i="368"/>
  <c r="S48" i="368"/>
  <c r="AF48" i="368" s="1"/>
  <c r="N48" i="368"/>
  <c r="J48" i="368"/>
  <c r="I48" i="368"/>
  <c r="A48" i="368"/>
  <c r="Q46" i="368"/>
  <c r="D46" i="368"/>
  <c r="W43" i="368"/>
  <c r="V43" i="368"/>
  <c r="N43" i="368"/>
  <c r="E43" i="368"/>
  <c r="A43" i="368"/>
  <c r="W42" i="368"/>
  <c r="V42" i="368"/>
  <c r="S42" i="368"/>
  <c r="T42" i="368" s="1"/>
  <c r="N42" i="368"/>
  <c r="E42" i="368"/>
  <c r="A42" i="368"/>
  <c r="N41" i="368"/>
  <c r="E41" i="368"/>
  <c r="A41" i="368"/>
  <c r="Y40" i="368"/>
  <c r="W40" i="368"/>
  <c r="V40" i="368"/>
  <c r="N40" i="368"/>
  <c r="F40" i="368"/>
  <c r="E40" i="368"/>
  <c r="A40" i="368" s="1"/>
  <c r="W39" i="368"/>
  <c r="V39" i="368"/>
  <c r="N39" i="368"/>
  <c r="A39" i="368"/>
  <c r="W38" i="368"/>
  <c r="V38" i="368"/>
  <c r="N38" i="368"/>
  <c r="E38" i="368"/>
  <c r="A38" i="368"/>
  <c r="W37" i="368"/>
  <c r="V37" i="368"/>
  <c r="N37" i="368"/>
  <c r="E37" i="368"/>
  <c r="A37" i="368" s="1"/>
  <c r="W36" i="368"/>
  <c r="V36" i="368"/>
  <c r="N36" i="368"/>
  <c r="E36" i="368"/>
  <c r="A36" i="368" s="1"/>
  <c r="W35" i="368"/>
  <c r="V35" i="368"/>
  <c r="S35" i="368"/>
  <c r="Z35" i="368" s="1"/>
  <c r="N35" i="368"/>
  <c r="E35" i="368"/>
  <c r="A35" i="368" s="1"/>
  <c r="Q33" i="368"/>
  <c r="D33" i="368"/>
  <c r="V30" i="368"/>
  <c r="U30" i="368"/>
  <c r="V29" i="368"/>
  <c r="U29" i="368"/>
  <c r="V28" i="368"/>
  <c r="U28" i="368"/>
  <c r="V27" i="368"/>
  <c r="U27" i="368"/>
  <c r="V26" i="368"/>
  <c r="U26" i="368"/>
  <c r="V25" i="368"/>
  <c r="U25" i="368"/>
  <c r="J25" i="368"/>
  <c r="V24" i="368"/>
  <c r="U24" i="368"/>
  <c r="J24" i="368"/>
  <c r="V23" i="368"/>
  <c r="U23" i="368"/>
  <c r="V22" i="368"/>
  <c r="U22" i="368"/>
  <c r="K22" i="368"/>
  <c r="J22" i="368"/>
  <c r="V21" i="368"/>
  <c r="U21" i="368"/>
  <c r="K21" i="368"/>
  <c r="J21" i="368"/>
  <c r="V20" i="368"/>
  <c r="U20" i="368"/>
  <c r="K20" i="368"/>
  <c r="J20" i="368"/>
  <c r="V19" i="368"/>
  <c r="U19" i="368"/>
  <c r="K19" i="368"/>
  <c r="J19" i="368"/>
  <c r="V18" i="368"/>
  <c r="U18" i="368"/>
  <c r="K18" i="368"/>
  <c r="J18" i="368"/>
  <c r="V17" i="368"/>
  <c r="U17" i="368"/>
  <c r="K17" i="368"/>
  <c r="J17" i="368"/>
  <c r="U13" i="368"/>
  <c r="U12" i="368"/>
  <c r="V10" i="368"/>
  <c r="U10" i="368"/>
  <c r="J10" i="368"/>
  <c r="V9" i="368"/>
  <c r="U9" i="368"/>
  <c r="J9" i="368"/>
  <c r="V8" i="368"/>
  <c r="U8" i="368"/>
  <c r="V7" i="368"/>
  <c r="U7" i="368"/>
  <c r="J7" i="368"/>
  <c r="V6" i="368"/>
  <c r="U6" i="368"/>
  <c r="V5" i="368"/>
  <c r="U5" i="368"/>
  <c r="AH60" i="368" l="1"/>
  <c r="Y49" i="368"/>
  <c r="Y59" i="368"/>
  <c r="Y60" i="368"/>
  <c r="Y52" i="368"/>
  <c r="Y48" i="368"/>
  <c r="Y56" i="368"/>
  <c r="Y53" i="368"/>
  <c r="Y54" i="368"/>
  <c r="AD38" i="368" s="1"/>
  <c r="J8" i="368" s="1"/>
  <c r="M51" i="368"/>
  <c r="L48" i="368"/>
  <c r="Y43" i="368"/>
  <c r="Y42" i="368"/>
  <c r="AD42" i="368" s="1"/>
  <c r="AD41" i="368" s="1"/>
  <c r="T41" i="368" s="1"/>
  <c r="S39" i="368"/>
  <c r="Z39" i="368" s="1"/>
  <c r="Y39" i="368"/>
  <c r="AD39" i="368" s="1"/>
  <c r="Z37" i="368"/>
  <c r="T37" i="368"/>
  <c r="Y37" i="368"/>
  <c r="AD37" i="368" s="1"/>
  <c r="T39" i="368"/>
  <c r="S36" i="368"/>
  <c r="S38" i="368"/>
  <c r="Z40" i="368"/>
  <c r="T40" i="368"/>
  <c r="F42" i="368"/>
  <c r="G42" i="368" s="1"/>
  <c r="M49" i="368"/>
  <c r="G49" i="368"/>
  <c r="S51" i="368"/>
  <c r="Y51" i="368"/>
  <c r="AD36" i="368" s="1"/>
  <c r="J6" i="368" s="1"/>
  <c r="AF53" i="368"/>
  <c r="T53" i="368"/>
  <c r="AF56" i="368"/>
  <c r="T56" i="368"/>
  <c r="AH57" i="368"/>
  <c r="Z57" i="368"/>
  <c r="AF57" i="368"/>
  <c r="S58" i="368"/>
  <c r="Y58" i="368"/>
  <c r="G40" i="368"/>
  <c r="AF49" i="368"/>
  <c r="T49" i="368"/>
  <c r="AH50" i="368"/>
  <c r="Z50" i="368"/>
  <c r="AF50" i="368"/>
  <c r="AH53" i="368"/>
  <c r="AF54" i="368"/>
  <c r="T54" i="368"/>
  <c r="AH56" i="368"/>
  <c r="T35" i="368"/>
  <c r="AH49" i="368"/>
  <c r="AH54" i="368"/>
  <c r="AF60" i="368"/>
  <c r="T60" i="368"/>
  <c r="AH61" i="368"/>
  <c r="Z61" i="368"/>
  <c r="AF61" i="368"/>
  <c r="F38" i="368"/>
  <c r="G38" i="368" s="1"/>
  <c r="F39" i="368"/>
  <c r="G39" i="368" s="1"/>
  <c r="F37" i="368"/>
  <c r="G37" i="368" s="1"/>
  <c r="F35" i="368"/>
  <c r="G35" i="368" s="1"/>
  <c r="F41" i="368"/>
  <c r="G41" i="368" s="1"/>
  <c r="AI50" i="368"/>
  <c r="M53" i="368"/>
  <c r="G53" i="368"/>
  <c r="Z53" i="368"/>
  <c r="S55" i="368"/>
  <c r="Y55" i="368"/>
  <c r="Z56" i="368"/>
  <c r="T57" i="368"/>
  <c r="Z48" i="368"/>
  <c r="AH48" i="368"/>
  <c r="Z52" i="368"/>
  <c r="AH52" i="368"/>
  <c r="Z59" i="368"/>
  <c r="AH59" i="368"/>
  <c r="G48" i="368"/>
  <c r="T48" i="368"/>
  <c r="Y50" i="368"/>
  <c r="G52" i="368"/>
  <c r="L52" i="368"/>
  <c r="T52" i="368"/>
  <c r="Y57" i="368"/>
  <c r="AD40" i="368" s="1"/>
  <c r="T59" i="368"/>
  <c r="Y61" i="368"/>
  <c r="AD43" i="368" s="1"/>
  <c r="F43" i="368" s="1"/>
  <c r="G43" i="368" s="1"/>
  <c r="D14" i="358"/>
  <c r="J14" i="359"/>
  <c r="G14" i="359"/>
  <c r="D14" i="359"/>
  <c r="I105" i="367"/>
  <c r="H105" i="367"/>
  <c r="I99" i="367"/>
  <c r="H99" i="367"/>
  <c r="M82" i="367"/>
  <c r="L82" i="367"/>
  <c r="K73" i="367"/>
  <c r="J73" i="367"/>
  <c r="I73" i="367"/>
  <c r="H73" i="367"/>
  <c r="F73" i="367"/>
  <c r="E73" i="367"/>
  <c r="C73" i="367"/>
  <c r="B73" i="367"/>
  <c r="Q67" i="367"/>
  <c r="P67" i="367"/>
  <c r="Q65" i="367"/>
  <c r="Q66" i="367" s="1"/>
  <c r="Q76" i="367" s="1"/>
  <c r="P65" i="367"/>
  <c r="P66" i="367" s="1"/>
  <c r="N65" i="367"/>
  <c r="M65" i="367"/>
  <c r="F65" i="367"/>
  <c r="E65" i="367"/>
  <c r="C65" i="367"/>
  <c r="B65" i="367"/>
  <c r="P50" i="367"/>
  <c r="O50" i="367"/>
  <c r="N50" i="367"/>
  <c r="M50" i="367"/>
  <c r="L50" i="367"/>
  <c r="K50" i="367"/>
  <c r="J50" i="367"/>
  <c r="I50" i="367"/>
  <c r="H50" i="367"/>
  <c r="G50" i="367"/>
  <c r="F50" i="367"/>
  <c r="E50" i="367"/>
  <c r="J39" i="367"/>
  <c r="I39" i="367"/>
  <c r="T34" i="367"/>
  <c r="S34" i="367"/>
  <c r="J34" i="367"/>
  <c r="I34" i="367"/>
  <c r="E34" i="367"/>
  <c r="D34" i="367"/>
  <c r="Y29" i="367"/>
  <c r="X29" i="367"/>
  <c r="T29" i="367"/>
  <c r="S29" i="367"/>
  <c r="O29" i="367"/>
  <c r="N29" i="367"/>
  <c r="J29" i="367"/>
  <c r="I29" i="367"/>
  <c r="E29" i="367"/>
  <c r="D29" i="367"/>
  <c r="Y24" i="367"/>
  <c r="X24" i="367"/>
  <c r="T24" i="367"/>
  <c r="S24" i="367"/>
  <c r="O24" i="367"/>
  <c r="N24" i="367"/>
  <c r="J24" i="367"/>
  <c r="I24" i="367"/>
  <c r="E24" i="367"/>
  <c r="D24" i="367"/>
  <c r="Y19" i="367"/>
  <c r="X19" i="367"/>
  <c r="T19" i="367"/>
  <c r="S19" i="367"/>
  <c r="O19" i="367"/>
  <c r="N19" i="367"/>
  <c r="J19" i="367"/>
  <c r="I19" i="367"/>
  <c r="E19" i="367"/>
  <c r="D19" i="367"/>
  <c r="Y14" i="367"/>
  <c r="X14" i="367"/>
  <c r="T14" i="367"/>
  <c r="S14" i="367"/>
  <c r="O14" i="367"/>
  <c r="N14" i="367"/>
  <c r="J14" i="367"/>
  <c r="I14" i="367"/>
  <c r="E14" i="367"/>
  <c r="D14" i="367"/>
  <c r="G112" i="366"/>
  <c r="E112" i="366"/>
  <c r="F112" i="366" s="1"/>
  <c r="F111" i="366"/>
  <c r="E111" i="366"/>
  <c r="G110" i="366"/>
  <c r="E110" i="366"/>
  <c r="F110" i="366" s="1"/>
  <c r="F109" i="366"/>
  <c r="E109" i="366"/>
  <c r="G108" i="366"/>
  <c r="E108" i="366"/>
  <c r="F108" i="366" s="1"/>
  <c r="F107" i="366"/>
  <c r="E107" i="366"/>
  <c r="G106" i="366"/>
  <c r="E106" i="366"/>
  <c r="F106" i="366" s="1"/>
  <c r="F105" i="366"/>
  <c r="E105" i="366"/>
  <c r="G104" i="366"/>
  <c r="E104" i="366"/>
  <c r="F104" i="366" s="1"/>
  <c r="F103" i="366"/>
  <c r="E103" i="366"/>
  <c r="G102" i="366"/>
  <c r="E102" i="366"/>
  <c r="F102" i="366" s="1"/>
  <c r="F101" i="366"/>
  <c r="E101" i="366"/>
  <c r="G100" i="366"/>
  <c r="E100" i="366"/>
  <c r="F100" i="366" s="1"/>
  <c r="F99" i="366"/>
  <c r="E99" i="366"/>
  <c r="G98" i="366"/>
  <c r="E98" i="366"/>
  <c r="F98" i="366" s="1"/>
  <c r="F97" i="366"/>
  <c r="E97" i="366"/>
  <c r="G96" i="366"/>
  <c r="E96" i="366"/>
  <c r="F96" i="366" s="1"/>
  <c r="F95" i="366"/>
  <c r="E95" i="366"/>
  <c r="G94" i="366"/>
  <c r="E94" i="366"/>
  <c r="F94" i="366" s="1"/>
  <c r="F93" i="366"/>
  <c r="E93" i="366"/>
  <c r="G92" i="366"/>
  <c r="E92" i="366"/>
  <c r="F92" i="366" s="1"/>
  <c r="F91" i="366"/>
  <c r="E91" i="366"/>
  <c r="G90" i="366"/>
  <c r="E90" i="366"/>
  <c r="F90" i="366" s="1"/>
  <c r="F89" i="366"/>
  <c r="E89" i="366"/>
  <c r="G88" i="366"/>
  <c r="E88" i="366"/>
  <c r="F88" i="366" s="1"/>
  <c r="F87" i="366"/>
  <c r="E87" i="366"/>
  <c r="G86" i="366"/>
  <c r="E86" i="366"/>
  <c r="F86" i="366" s="1"/>
  <c r="F85" i="366"/>
  <c r="E85" i="366"/>
  <c r="G84" i="366"/>
  <c r="E84" i="366"/>
  <c r="F84" i="366" s="1"/>
  <c r="F83" i="366"/>
  <c r="E83" i="366"/>
  <c r="G82" i="366"/>
  <c r="E82" i="366"/>
  <c r="F82" i="366" s="1"/>
  <c r="F81" i="366"/>
  <c r="E81" i="366"/>
  <c r="G80" i="366"/>
  <c r="E80" i="366"/>
  <c r="F80" i="366" s="1"/>
  <c r="F79" i="366"/>
  <c r="E79" i="366"/>
  <c r="G78" i="366"/>
  <c r="E78" i="366"/>
  <c r="F78" i="366" s="1"/>
  <c r="F77" i="366"/>
  <c r="E77" i="366"/>
  <c r="G76" i="366"/>
  <c r="E76" i="366"/>
  <c r="F76" i="366" s="1"/>
  <c r="F75" i="366"/>
  <c r="E75" i="366"/>
  <c r="G74" i="366"/>
  <c r="E74" i="366"/>
  <c r="F74" i="366" s="1"/>
  <c r="F73" i="366"/>
  <c r="E73" i="366"/>
  <c r="G72" i="366"/>
  <c r="E72" i="366"/>
  <c r="F72" i="366" s="1"/>
  <c r="F71" i="366"/>
  <c r="E71" i="366"/>
  <c r="G70" i="366"/>
  <c r="E70" i="366"/>
  <c r="F70" i="366" s="1"/>
  <c r="F69" i="366"/>
  <c r="E69" i="366"/>
  <c r="G68" i="366"/>
  <c r="E68" i="366"/>
  <c r="F68" i="366" s="1"/>
  <c r="F67" i="366"/>
  <c r="E67" i="366"/>
  <c r="G66" i="366"/>
  <c r="E66" i="366"/>
  <c r="F66" i="366" s="1"/>
  <c r="F65" i="366"/>
  <c r="E65" i="366"/>
  <c r="G64" i="366"/>
  <c r="E64" i="366"/>
  <c r="F64" i="366" s="1"/>
  <c r="F63" i="366"/>
  <c r="E63" i="366"/>
  <c r="G62" i="366"/>
  <c r="E62" i="366"/>
  <c r="F62" i="366" s="1"/>
  <c r="F61" i="366"/>
  <c r="E61" i="366"/>
  <c r="G60" i="366"/>
  <c r="E60" i="366"/>
  <c r="F60" i="366" s="1"/>
  <c r="F59" i="366"/>
  <c r="E59" i="366"/>
  <c r="G58" i="366"/>
  <c r="E58" i="366"/>
  <c r="F58" i="366" s="1"/>
  <c r="F57" i="366"/>
  <c r="E57" i="366"/>
  <c r="G56" i="366"/>
  <c r="E56" i="366"/>
  <c r="F56" i="366" s="1"/>
  <c r="F55" i="366"/>
  <c r="E55" i="366"/>
  <c r="G54" i="366"/>
  <c r="E54" i="366"/>
  <c r="F54" i="366" s="1"/>
  <c r="F53" i="366"/>
  <c r="E53" i="366"/>
  <c r="G52" i="366"/>
  <c r="E52" i="366"/>
  <c r="F52" i="366" s="1"/>
  <c r="F51" i="366"/>
  <c r="E51" i="366"/>
  <c r="G50" i="366"/>
  <c r="E50" i="366"/>
  <c r="F50" i="366" s="1"/>
  <c r="F49" i="366"/>
  <c r="E49" i="366"/>
  <c r="G48" i="366"/>
  <c r="E48" i="366"/>
  <c r="F48" i="366" s="1"/>
  <c r="F47" i="366"/>
  <c r="E47" i="366"/>
  <c r="G46" i="366"/>
  <c r="E46" i="366"/>
  <c r="F46" i="366" s="1"/>
  <c r="F45" i="366"/>
  <c r="E45" i="366"/>
  <c r="G44" i="366"/>
  <c r="E44" i="366"/>
  <c r="F44" i="366" s="1"/>
  <c r="F43" i="366"/>
  <c r="E43" i="366"/>
  <c r="G42" i="366"/>
  <c r="E42" i="366"/>
  <c r="F42" i="366" s="1"/>
  <c r="F41" i="366"/>
  <c r="E41" i="366"/>
  <c r="G40" i="366"/>
  <c r="E40" i="366"/>
  <c r="F40" i="366" s="1"/>
  <c r="F39" i="366"/>
  <c r="E39" i="366"/>
  <c r="G38" i="366"/>
  <c r="E38" i="366"/>
  <c r="F38" i="366" s="1"/>
  <c r="F37" i="366"/>
  <c r="E37" i="366"/>
  <c r="G36" i="366"/>
  <c r="E36" i="366"/>
  <c r="F36" i="366" s="1"/>
  <c r="F35" i="366"/>
  <c r="E35" i="366"/>
  <c r="G34" i="366"/>
  <c r="E34" i="366"/>
  <c r="F34" i="366" s="1"/>
  <c r="F33" i="366"/>
  <c r="E33" i="366"/>
  <c r="G32" i="366"/>
  <c r="E32" i="366"/>
  <c r="F32" i="366" s="1"/>
  <c r="F31" i="366"/>
  <c r="E31" i="366"/>
  <c r="G30" i="366"/>
  <c r="E30" i="366"/>
  <c r="F30" i="366" s="1"/>
  <c r="F29" i="366"/>
  <c r="E29" i="366"/>
  <c r="G28" i="366"/>
  <c r="E28" i="366"/>
  <c r="F28" i="366" s="1"/>
  <c r="F27" i="366"/>
  <c r="E27" i="366"/>
  <c r="G26" i="366"/>
  <c r="E26" i="366"/>
  <c r="F26" i="366" s="1"/>
  <c r="F25" i="366"/>
  <c r="E25" i="366"/>
  <c r="G24" i="366"/>
  <c r="E24" i="366"/>
  <c r="F24" i="366" s="1"/>
  <c r="F23" i="366"/>
  <c r="E23" i="366"/>
  <c r="G22" i="366"/>
  <c r="E22" i="366"/>
  <c r="F22" i="366" s="1"/>
  <c r="F21" i="366"/>
  <c r="E21" i="366"/>
  <c r="G20" i="366"/>
  <c r="E20" i="366"/>
  <c r="F20" i="366" s="1"/>
  <c r="F19" i="366"/>
  <c r="E19" i="366"/>
  <c r="G18" i="366"/>
  <c r="E18" i="366"/>
  <c r="F18" i="366" s="1"/>
  <c r="E17" i="366"/>
  <c r="D17" i="366"/>
  <c r="C17" i="366"/>
  <c r="F15" i="366"/>
  <c r="C14" i="366"/>
  <c r="D7" i="366"/>
  <c r="D6" i="366"/>
  <c r="D3" i="366"/>
  <c r="D2" i="366"/>
  <c r="L51" i="365"/>
  <c r="N51" i="365" s="1"/>
  <c r="H51" i="365"/>
  <c r="G51" i="365"/>
  <c r="F51" i="365"/>
  <c r="E51" i="365"/>
  <c r="K51" i="365" s="1"/>
  <c r="M51" i="365" s="1"/>
  <c r="B51" i="365"/>
  <c r="A51" i="365"/>
  <c r="H50" i="365"/>
  <c r="G50" i="365"/>
  <c r="F50" i="365"/>
  <c r="L50" i="365" s="1"/>
  <c r="E50" i="365"/>
  <c r="K50" i="365" s="1"/>
  <c r="M50" i="365" s="1"/>
  <c r="B50" i="365"/>
  <c r="A50" i="365"/>
  <c r="H49" i="365"/>
  <c r="G49" i="365"/>
  <c r="F49" i="365"/>
  <c r="L49" i="365" s="1"/>
  <c r="N49" i="365" s="1"/>
  <c r="E49" i="365"/>
  <c r="K49" i="365" s="1"/>
  <c r="B49" i="365"/>
  <c r="A49" i="365"/>
  <c r="H48" i="365"/>
  <c r="G48" i="365"/>
  <c r="F48" i="365"/>
  <c r="L48" i="365" s="1"/>
  <c r="E48" i="365"/>
  <c r="K48" i="365" s="1"/>
  <c r="M48" i="365" s="1"/>
  <c r="B48" i="365"/>
  <c r="A48" i="365"/>
  <c r="H47" i="365"/>
  <c r="G47" i="365"/>
  <c r="F47" i="365"/>
  <c r="L47" i="365" s="1"/>
  <c r="E47" i="365"/>
  <c r="K47" i="365" s="1"/>
  <c r="C47" i="365"/>
  <c r="B47" i="365"/>
  <c r="A47" i="365"/>
  <c r="L46" i="365"/>
  <c r="H46" i="365"/>
  <c r="G46" i="365"/>
  <c r="F46" i="365"/>
  <c r="E46" i="365"/>
  <c r="K46" i="365" s="1"/>
  <c r="M46" i="365" s="1"/>
  <c r="B46" i="365"/>
  <c r="A46" i="365"/>
  <c r="H45" i="365"/>
  <c r="G45" i="365"/>
  <c r="F45" i="365"/>
  <c r="L45" i="365" s="1"/>
  <c r="N45" i="365" s="1"/>
  <c r="E45" i="365"/>
  <c r="K45" i="365" s="1"/>
  <c r="M45" i="365" s="1"/>
  <c r="B45" i="365"/>
  <c r="A45" i="365"/>
  <c r="N44" i="365"/>
  <c r="H44" i="365"/>
  <c r="G44" i="365"/>
  <c r="F44" i="365"/>
  <c r="L44" i="365" s="1"/>
  <c r="E44" i="365"/>
  <c r="K44" i="365" s="1"/>
  <c r="M44" i="365" s="1"/>
  <c r="B44" i="365"/>
  <c r="A44" i="365"/>
  <c r="H43" i="365"/>
  <c r="G43" i="365"/>
  <c r="F43" i="365"/>
  <c r="L43" i="365" s="1"/>
  <c r="E43" i="365"/>
  <c r="B43" i="365"/>
  <c r="A43" i="365"/>
  <c r="H37" i="365"/>
  <c r="G37" i="365"/>
  <c r="E37" i="365"/>
  <c r="D37" i="365"/>
  <c r="B37" i="365"/>
  <c r="A37" i="365"/>
  <c r="H36" i="365"/>
  <c r="G36" i="365"/>
  <c r="E36" i="365"/>
  <c r="B36" i="365"/>
  <c r="A36" i="365"/>
  <c r="H35" i="365"/>
  <c r="G35" i="365"/>
  <c r="E35" i="365"/>
  <c r="D35" i="365"/>
  <c r="B35" i="365"/>
  <c r="A35" i="365"/>
  <c r="H34" i="365"/>
  <c r="G34" i="365"/>
  <c r="E34" i="365"/>
  <c r="B34" i="365"/>
  <c r="A34" i="365"/>
  <c r="H33" i="365"/>
  <c r="G33" i="365"/>
  <c r="E33" i="365"/>
  <c r="D33" i="365"/>
  <c r="C33" i="365"/>
  <c r="B33" i="365"/>
  <c r="A33" i="365"/>
  <c r="G32" i="365"/>
  <c r="E32" i="365"/>
  <c r="B32" i="365"/>
  <c r="A32" i="365"/>
  <c r="G31" i="365"/>
  <c r="H31" i="365" s="1"/>
  <c r="E31" i="365"/>
  <c r="B31" i="365"/>
  <c r="A31" i="365"/>
  <c r="G30" i="365"/>
  <c r="H30" i="365" s="1"/>
  <c r="E30" i="365"/>
  <c r="F30" i="365" s="1"/>
  <c r="B30" i="365"/>
  <c r="A30" i="365"/>
  <c r="G29" i="365"/>
  <c r="H29" i="365" s="1"/>
  <c r="E29" i="365"/>
  <c r="B29" i="365"/>
  <c r="A29" i="365"/>
  <c r="G28" i="365"/>
  <c r="E28" i="365"/>
  <c r="H23" i="365"/>
  <c r="F23" i="365"/>
  <c r="E23" i="365"/>
  <c r="F22" i="365"/>
  <c r="E22" i="365"/>
  <c r="H22" i="365" s="1"/>
  <c r="H21" i="365"/>
  <c r="F21" i="365"/>
  <c r="E21" i="365"/>
  <c r="F20" i="365"/>
  <c r="E20" i="365"/>
  <c r="H20" i="365" s="1"/>
  <c r="H19" i="365"/>
  <c r="F19" i="365"/>
  <c r="E19" i="365"/>
  <c r="F18" i="365"/>
  <c r="E18" i="365"/>
  <c r="H18" i="365" s="1"/>
  <c r="H17" i="365"/>
  <c r="F17" i="365"/>
  <c r="E17" i="365"/>
  <c r="F16" i="365"/>
  <c r="E16" i="365"/>
  <c r="H16" i="365" s="1"/>
  <c r="H15" i="365"/>
  <c r="F15" i="365"/>
  <c r="E15" i="365"/>
  <c r="G14" i="365"/>
  <c r="F14" i="365"/>
  <c r="G41" i="365" s="1"/>
  <c r="E14" i="365"/>
  <c r="E41" i="365" s="1"/>
  <c r="D7" i="365"/>
  <c r="D15" i="365" s="1"/>
  <c r="D6" i="365"/>
  <c r="D3" i="365"/>
  <c r="D2" i="365"/>
  <c r="M86" i="364"/>
  <c r="H57" i="364"/>
  <c r="G57" i="364"/>
  <c r="F57" i="364"/>
  <c r="L57" i="364" s="1"/>
  <c r="E57" i="364"/>
  <c r="K57" i="364" s="1"/>
  <c r="D57" i="364"/>
  <c r="C57" i="364"/>
  <c r="B57" i="364"/>
  <c r="A57" i="364"/>
  <c r="H56" i="364"/>
  <c r="G56" i="364"/>
  <c r="F56" i="364"/>
  <c r="L56" i="364" s="1"/>
  <c r="E56" i="364"/>
  <c r="K56" i="364" s="1"/>
  <c r="D56" i="364"/>
  <c r="C56" i="364"/>
  <c r="B56" i="364"/>
  <c r="A56" i="364"/>
  <c r="H55" i="364"/>
  <c r="G55" i="364"/>
  <c r="F55" i="364"/>
  <c r="L55" i="364" s="1"/>
  <c r="E55" i="364"/>
  <c r="K55" i="364" s="1"/>
  <c r="D55" i="364"/>
  <c r="C55" i="364"/>
  <c r="B55" i="364"/>
  <c r="A55" i="364"/>
  <c r="H54" i="364"/>
  <c r="G54" i="364"/>
  <c r="F54" i="364"/>
  <c r="L54" i="364" s="1"/>
  <c r="E54" i="364"/>
  <c r="K54" i="364" s="1"/>
  <c r="D54" i="364"/>
  <c r="C54" i="364"/>
  <c r="B54" i="364"/>
  <c r="A54" i="364"/>
  <c r="H53" i="364"/>
  <c r="G53" i="364"/>
  <c r="F53" i="364"/>
  <c r="L53" i="364" s="1"/>
  <c r="E53" i="364"/>
  <c r="K53" i="364" s="1"/>
  <c r="D53" i="364"/>
  <c r="C53" i="364"/>
  <c r="B53" i="364"/>
  <c r="A53" i="364"/>
  <c r="H52" i="364"/>
  <c r="G52" i="364"/>
  <c r="F52" i="364"/>
  <c r="L52" i="364" s="1"/>
  <c r="E52" i="364"/>
  <c r="K52" i="364" s="1"/>
  <c r="D52" i="364"/>
  <c r="C52" i="364"/>
  <c r="B52" i="364"/>
  <c r="A52" i="364"/>
  <c r="H51" i="364"/>
  <c r="G51" i="364"/>
  <c r="F51" i="364"/>
  <c r="L51" i="364" s="1"/>
  <c r="N51" i="364" s="1"/>
  <c r="E51" i="364"/>
  <c r="K51" i="364" s="1"/>
  <c r="M51" i="364" s="1"/>
  <c r="D51" i="364"/>
  <c r="C51" i="364"/>
  <c r="B51" i="364"/>
  <c r="A51" i="364"/>
  <c r="H50" i="364"/>
  <c r="G50" i="364"/>
  <c r="F50" i="364"/>
  <c r="L50" i="364" s="1"/>
  <c r="N50" i="364" s="1"/>
  <c r="E50" i="364"/>
  <c r="K50" i="364" s="1"/>
  <c r="M50" i="364" s="1"/>
  <c r="D50" i="364"/>
  <c r="C50" i="364"/>
  <c r="B50" i="364"/>
  <c r="A50" i="364"/>
  <c r="H49" i="364"/>
  <c r="G49" i="364"/>
  <c r="F49" i="364"/>
  <c r="L49" i="364" s="1"/>
  <c r="N49" i="364" s="1"/>
  <c r="E49" i="364"/>
  <c r="K49" i="364" s="1"/>
  <c r="M49" i="364" s="1"/>
  <c r="D49" i="364"/>
  <c r="C49" i="364"/>
  <c r="B49" i="364"/>
  <c r="A49" i="364"/>
  <c r="H48" i="364"/>
  <c r="G48" i="364"/>
  <c r="F48" i="364"/>
  <c r="L48" i="364" s="1"/>
  <c r="N48" i="364" s="1"/>
  <c r="E48" i="364"/>
  <c r="K48" i="364" s="1"/>
  <c r="M48" i="364" s="1"/>
  <c r="D48" i="364"/>
  <c r="C48" i="364"/>
  <c r="B48" i="364"/>
  <c r="A48" i="364"/>
  <c r="H47" i="364"/>
  <c r="G47" i="364"/>
  <c r="F47" i="364"/>
  <c r="L47" i="364" s="1"/>
  <c r="N47" i="364" s="1"/>
  <c r="E47" i="364"/>
  <c r="K47" i="364" s="1"/>
  <c r="M47" i="364" s="1"/>
  <c r="D47" i="364"/>
  <c r="C47" i="364"/>
  <c r="B47" i="364"/>
  <c r="A47" i="364"/>
  <c r="H46" i="364"/>
  <c r="G46" i="364"/>
  <c r="F46" i="364"/>
  <c r="L46" i="364" s="1"/>
  <c r="N46" i="364" s="1"/>
  <c r="E46" i="364"/>
  <c r="K46" i="364" s="1"/>
  <c r="M46" i="364" s="1"/>
  <c r="D46" i="364"/>
  <c r="C46" i="364"/>
  <c r="B46" i="364"/>
  <c r="A46" i="364"/>
  <c r="I44" i="364"/>
  <c r="G44" i="364"/>
  <c r="E44" i="364"/>
  <c r="H42" i="364"/>
  <c r="G42" i="364"/>
  <c r="E42" i="364"/>
  <c r="C42" i="364"/>
  <c r="D42" i="364" s="1"/>
  <c r="B42" i="364"/>
  <c r="A42" i="364"/>
  <c r="G41" i="364"/>
  <c r="H41" i="364" s="1"/>
  <c r="E41" i="364"/>
  <c r="C41" i="364"/>
  <c r="D41" i="364" s="1"/>
  <c r="B41" i="364"/>
  <c r="A41" i="364"/>
  <c r="H40" i="364"/>
  <c r="G40" i="364"/>
  <c r="E40" i="364"/>
  <c r="D40" i="364"/>
  <c r="C40" i="364"/>
  <c r="B40" i="364"/>
  <c r="A40" i="364"/>
  <c r="H39" i="364"/>
  <c r="G39" i="364"/>
  <c r="E39" i="364"/>
  <c r="F39" i="364" s="1"/>
  <c r="D39" i="364"/>
  <c r="C39" i="364"/>
  <c r="B39" i="364"/>
  <c r="A39" i="364"/>
  <c r="G38" i="364"/>
  <c r="H38" i="364" s="1"/>
  <c r="E38" i="364"/>
  <c r="D38" i="364"/>
  <c r="C38" i="364"/>
  <c r="B38" i="364"/>
  <c r="A38" i="364"/>
  <c r="G37" i="364"/>
  <c r="H37" i="364" s="1"/>
  <c r="F37" i="364"/>
  <c r="E37" i="364"/>
  <c r="C37" i="364"/>
  <c r="D37" i="364" s="1"/>
  <c r="B37" i="364"/>
  <c r="A37" i="364"/>
  <c r="H36" i="364"/>
  <c r="G36" i="364"/>
  <c r="F36" i="364"/>
  <c r="E36" i="364"/>
  <c r="D36" i="364"/>
  <c r="C36" i="364"/>
  <c r="B36" i="364"/>
  <c r="A36" i="364"/>
  <c r="H35" i="364"/>
  <c r="J35" i="364" s="1"/>
  <c r="G35" i="364"/>
  <c r="E35" i="364"/>
  <c r="F35" i="364" s="1"/>
  <c r="D35" i="364"/>
  <c r="C35" i="364"/>
  <c r="B35" i="364"/>
  <c r="A35" i="364"/>
  <c r="H34" i="364"/>
  <c r="G34" i="364"/>
  <c r="E34" i="364"/>
  <c r="C34" i="364"/>
  <c r="D34" i="364" s="1"/>
  <c r="B34" i="364"/>
  <c r="A34" i="364"/>
  <c r="G33" i="364"/>
  <c r="H33" i="364" s="1"/>
  <c r="F33" i="364"/>
  <c r="E33" i="364"/>
  <c r="J33" i="364" s="1"/>
  <c r="C33" i="364"/>
  <c r="D33" i="364" s="1"/>
  <c r="B33" i="364"/>
  <c r="A33" i="364"/>
  <c r="H32" i="364"/>
  <c r="G32" i="364"/>
  <c r="E32" i="364"/>
  <c r="D32" i="364"/>
  <c r="C32" i="364"/>
  <c r="B32" i="364"/>
  <c r="A32" i="364"/>
  <c r="H31" i="364"/>
  <c r="G31" i="364"/>
  <c r="E31" i="364"/>
  <c r="F31" i="364" s="1"/>
  <c r="D31" i="364"/>
  <c r="C31" i="364"/>
  <c r="B31" i="364"/>
  <c r="A31" i="364"/>
  <c r="I30" i="364"/>
  <c r="G30" i="364"/>
  <c r="E30" i="364"/>
  <c r="F27" i="364"/>
  <c r="E27" i="364"/>
  <c r="H27" i="364" s="1"/>
  <c r="D27" i="364"/>
  <c r="H26" i="364"/>
  <c r="F26" i="364"/>
  <c r="E26" i="364"/>
  <c r="D26" i="364"/>
  <c r="F25" i="364"/>
  <c r="E25" i="364"/>
  <c r="H25" i="364" s="1"/>
  <c r="D25" i="364"/>
  <c r="H24" i="364"/>
  <c r="F24" i="364"/>
  <c r="E24" i="364"/>
  <c r="D24" i="364"/>
  <c r="F23" i="364"/>
  <c r="E23" i="364"/>
  <c r="D23" i="364"/>
  <c r="H22" i="364"/>
  <c r="F22" i="364"/>
  <c r="E22" i="364"/>
  <c r="D22" i="364"/>
  <c r="F21" i="364"/>
  <c r="E21" i="364"/>
  <c r="D21" i="364"/>
  <c r="H20" i="364"/>
  <c r="F20" i="364"/>
  <c r="E20" i="364"/>
  <c r="D20" i="364"/>
  <c r="F19" i="364"/>
  <c r="E19" i="364"/>
  <c r="H19" i="364" s="1"/>
  <c r="D19" i="364"/>
  <c r="H18" i="364"/>
  <c r="F18" i="364"/>
  <c r="E18" i="364"/>
  <c r="D18" i="364"/>
  <c r="F17" i="364"/>
  <c r="E17" i="364"/>
  <c r="H17" i="364" s="1"/>
  <c r="D17" i="364"/>
  <c r="H16" i="364"/>
  <c r="F16" i="364"/>
  <c r="E16" i="364"/>
  <c r="D16" i="364"/>
  <c r="AM85" i="363"/>
  <c r="AM81" i="363"/>
  <c r="AM77" i="363"/>
  <c r="AC76" i="363"/>
  <c r="AD75" i="363"/>
  <c r="AC75" i="363"/>
  <c r="AC73" i="363"/>
  <c r="AM72" i="363"/>
  <c r="AD72" i="363"/>
  <c r="AC72" i="363"/>
  <c r="AM71" i="363"/>
  <c r="AD71" i="363"/>
  <c r="AD85" i="363" s="1"/>
  <c r="AC71" i="363"/>
  <c r="AM70" i="363"/>
  <c r="AD70" i="363"/>
  <c r="AC70" i="363"/>
  <c r="AM69" i="363"/>
  <c r="AD69" i="363"/>
  <c r="AC69" i="363"/>
  <c r="AM68" i="363"/>
  <c r="AD68" i="363"/>
  <c r="AC68" i="363"/>
  <c r="AM67" i="363"/>
  <c r="AD67" i="363"/>
  <c r="AM66" i="363"/>
  <c r="AL66" i="363"/>
  <c r="AD66" i="363"/>
  <c r="AC66" i="363"/>
  <c r="AM65" i="363"/>
  <c r="AL65" i="363"/>
  <c r="AD65" i="363"/>
  <c r="AC65" i="363"/>
  <c r="AM64" i="363"/>
  <c r="AL64" i="363"/>
  <c r="AD64" i="363"/>
  <c r="AC64" i="363"/>
  <c r="AM63" i="363"/>
  <c r="AL63" i="363"/>
  <c r="AD63" i="363"/>
  <c r="AC63" i="363"/>
  <c r="AM62" i="363"/>
  <c r="AL62" i="363"/>
  <c r="AD62" i="363"/>
  <c r="AC62" i="363"/>
  <c r="AM61" i="363"/>
  <c r="AL61" i="363"/>
  <c r="AD61" i="363"/>
  <c r="AC61" i="363"/>
  <c r="AL60" i="363"/>
  <c r="AC60" i="363"/>
  <c r="AL59" i="363"/>
  <c r="AC59" i="363"/>
  <c r="AM58" i="363"/>
  <c r="AM86" i="363" s="1"/>
  <c r="AL58" i="363"/>
  <c r="AD58" i="363"/>
  <c r="AD86" i="363" s="1"/>
  <c r="AC58" i="363"/>
  <c r="AM57" i="363"/>
  <c r="AD57" i="363"/>
  <c r="AM56" i="363"/>
  <c r="AM84" i="363" s="1"/>
  <c r="AD56" i="363"/>
  <c r="AD84" i="363" s="1"/>
  <c r="AM55" i="363"/>
  <c r="AM83" i="363" s="1"/>
  <c r="AL55" i="363"/>
  <c r="AL76" i="363" s="1"/>
  <c r="AD55" i="363"/>
  <c r="AD83" i="363" s="1"/>
  <c r="AC55" i="363"/>
  <c r="AM54" i="363"/>
  <c r="AL54" i="363"/>
  <c r="AL75" i="363" s="1"/>
  <c r="AD54" i="363"/>
  <c r="AD82" i="363" s="1"/>
  <c r="AC54" i="363"/>
  <c r="AM53" i="363"/>
  <c r="AL53" i="363"/>
  <c r="AL74" i="363" s="1"/>
  <c r="AD53" i="363"/>
  <c r="AD81" i="363" s="1"/>
  <c r="AC53" i="363"/>
  <c r="AC74" i="363" s="1"/>
  <c r="AM52" i="363"/>
  <c r="AM80" i="363" s="1"/>
  <c r="AL52" i="363"/>
  <c r="AL73" i="363" s="1"/>
  <c r="AD52" i="363"/>
  <c r="AD80" i="363" s="1"/>
  <c r="AC52" i="363"/>
  <c r="AM51" i="363"/>
  <c r="AM79" i="363" s="1"/>
  <c r="AL51" i="363"/>
  <c r="AL72" i="363" s="1"/>
  <c r="AD51" i="363"/>
  <c r="AD79" i="363" s="1"/>
  <c r="AC51" i="363"/>
  <c r="AM50" i="363"/>
  <c r="AM78" i="363" s="1"/>
  <c r="AL50" i="363"/>
  <c r="AL71" i="363" s="1"/>
  <c r="AD50" i="363"/>
  <c r="AD78" i="363" s="1"/>
  <c r="AC50" i="363"/>
  <c r="AM49" i="363"/>
  <c r="AL49" i="363"/>
  <c r="AD49" i="363"/>
  <c r="AD77" i="363" s="1"/>
  <c r="AC49" i="363"/>
  <c r="AM48" i="363"/>
  <c r="AM76" i="363" s="1"/>
  <c r="AL48" i="363"/>
  <c r="AD48" i="363"/>
  <c r="AD76" i="363" s="1"/>
  <c r="AC48" i="363"/>
  <c r="AM47" i="363"/>
  <c r="AM75" i="363" s="1"/>
  <c r="AL47" i="363"/>
  <c r="AL68" i="363" s="1"/>
  <c r="AD47" i="363"/>
  <c r="AC47" i="363"/>
  <c r="AD35" i="368" l="1"/>
  <c r="J5" i="368" s="1"/>
  <c r="Y41" i="368"/>
  <c r="Z38" i="368"/>
  <c r="T38" i="368"/>
  <c r="Z36" i="368"/>
  <c r="T36" i="368"/>
  <c r="AI52" i="368"/>
  <c r="AG52" i="368"/>
  <c r="F54" i="368"/>
  <c r="G54" i="368" s="1"/>
  <c r="L54" i="368"/>
  <c r="T55" i="368"/>
  <c r="AH55" i="368"/>
  <c r="Z55" i="368"/>
  <c r="AF55" i="368"/>
  <c r="AI59" i="368"/>
  <c r="AG59" i="368"/>
  <c r="T58" i="368"/>
  <c r="AH58" i="368"/>
  <c r="Z58" i="368"/>
  <c r="AF58" i="368"/>
  <c r="AG56" i="368"/>
  <c r="AI56" i="368"/>
  <c r="AI48" i="368"/>
  <c r="AG48" i="368"/>
  <c r="AG60" i="368"/>
  <c r="AI60" i="368"/>
  <c r="AG53" i="368"/>
  <c r="AI53" i="368"/>
  <c r="AG57" i="368"/>
  <c r="AI57" i="368"/>
  <c r="AG49" i="368"/>
  <c r="AI49" i="368"/>
  <c r="AG54" i="368"/>
  <c r="AI54" i="368"/>
  <c r="T51" i="368"/>
  <c r="AH51" i="368"/>
  <c r="Z51" i="368"/>
  <c r="AF51" i="368"/>
  <c r="F36" i="368"/>
  <c r="G36" i="368" s="1"/>
  <c r="N52" i="364"/>
  <c r="N53" i="364"/>
  <c r="J32" i="364"/>
  <c r="Q84" i="367"/>
  <c r="Q88" i="367" s="1"/>
  <c r="Q80" i="367"/>
  <c r="L35" i="364"/>
  <c r="J40" i="364"/>
  <c r="N54" i="364"/>
  <c r="L33" i="364"/>
  <c r="M52" i="364"/>
  <c r="M53" i="364"/>
  <c r="M54" i="364"/>
  <c r="M55" i="364"/>
  <c r="M56" i="364"/>
  <c r="M57" i="364"/>
  <c r="J16" i="364"/>
  <c r="F32" i="364"/>
  <c r="F40" i="364"/>
  <c r="N56" i="364"/>
  <c r="I41" i="365"/>
  <c r="I28" i="365"/>
  <c r="J18" i="365"/>
  <c r="J22" i="365"/>
  <c r="AL69" i="363"/>
  <c r="AL70" i="363"/>
  <c r="H21" i="364"/>
  <c r="F42" i="364"/>
  <c r="F38" i="364"/>
  <c r="J38" i="364" s="1"/>
  <c r="F34" i="364"/>
  <c r="J34" i="364" s="1"/>
  <c r="J36" i="364"/>
  <c r="F41" i="364"/>
  <c r="J41" i="364" s="1"/>
  <c r="J42" i="364"/>
  <c r="N57" i="364"/>
  <c r="D48" i="365"/>
  <c r="D43" i="365"/>
  <c r="D32" i="365"/>
  <c r="D30" i="365"/>
  <c r="D50" i="365"/>
  <c r="D45" i="365"/>
  <c r="D31" i="365"/>
  <c r="D51" i="365"/>
  <c r="D46" i="365"/>
  <c r="D22" i="365"/>
  <c r="D20" i="365"/>
  <c r="D18" i="365"/>
  <c r="D16" i="365"/>
  <c r="D49" i="365"/>
  <c r="D44" i="365"/>
  <c r="D47" i="365"/>
  <c r="D29" i="365"/>
  <c r="D23" i="365"/>
  <c r="D21" i="365"/>
  <c r="D19" i="365"/>
  <c r="D17" i="365"/>
  <c r="J17" i="365"/>
  <c r="I17" i="365"/>
  <c r="I12" i="365"/>
  <c r="I20" i="365" s="1"/>
  <c r="J21" i="365"/>
  <c r="D34" i="365"/>
  <c r="D36" i="365"/>
  <c r="K43" i="365"/>
  <c r="M43" i="365" s="1"/>
  <c r="N46" i="365"/>
  <c r="N50" i="365"/>
  <c r="N55" i="364"/>
  <c r="J15" i="365"/>
  <c r="J19" i="365"/>
  <c r="I19" i="365"/>
  <c r="J23" i="365"/>
  <c r="AM82" i="363"/>
  <c r="J19" i="364"/>
  <c r="J20" i="364"/>
  <c r="H23" i="364"/>
  <c r="J27" i="364"/>
  <c r="J31" i="364"/>
  <c r="J37" i="364"/>
  <c r="J39" i="364"/>
  <c r="J16" i="365"/>
  <c r="I18" i="365"/>
  <c r="J20" i="365"/>
  <c r="I22" i="365"/>
  <c r="N47" i="365"/>
  <c r="Q79" i="367"/>
  <c r="Q87" i="367" s="1"/>
  <c r="Q78" i="367"/>
  <c r="Q77" i="367"/>
  <c r="F32" i="365"/>
  <c r="J34" i="365"/>
  <c r="J35" i="365"/>
  <c r="H32" i="365"/>
  <c r="J32" i="365" s="1"/>
  <c r="F33" i="365"/>
  <c r="J33" i="365" s="1"/>
  <c r="F34" i="365"/>
  <c r="F35" i="365"/>
  <c r="F36" i="365"/>
  <c r="J36" i="365" s="1"/>
  <c r="F37" i="365"/>
  <c r="J37" i="365" s="1"/>
  <c r="M47" i="365"/>
  <c r="G19" i="366"/>
  <c r="G21" i="366"/>
  <c r="G23" i="366"/>
  <c r="G25" i="366"/>
  <c r="G27" i="366"/>
  <c r="G29" i="366"/>
  <c r="G31" i="366"/>
  <c r="G33" i="366"/>
  <c r="G35" i="366"/>
  <c r="G37" i="366"/>
  <c r="G39" i="366"/>
  <c r="G41" i="366"/>
  <c r="G43" i="366"/>
  <c r="G45" i="366"/>
  <c r="G47" i="366"/>
  <c r="G49" i="366"/>
  <c r="G51" i="366"/>
  <c r="G53" i="366"/>
  <c r="G55" i="366"/>
  <c r="G57" i="366"/>
  <c r="G59" i="366"/>
  <c r="G61" i="366"/>
  <c r="G63" i="366"/>
  <c r="G65" i="366"/>
  <c r="G67" i="366"/>
  <c r="G69" i="366"/>
  <c r="G71" i="366"/>
  <c r="G73" i="366"/>
  <c r="G75" i="366"/>
  <c r="G77" i="366"/>
  <c r="G79" i="366"/>
  <c r="G81" i="366"/>
  <c r="G83" i="366"/>
  <c r="G85" i="366"/>
  <c r="G87" i="366"/>
  <c r="G89" i="366"/>
  <c r="G91" i="366"/>
  <c r="G93" i="366"/>
  <c r="G95" i="366"/>
  <c r="G97" i="366"/>
  <c r="G99" i="366"/>
  <c r="G101" i="366"/>
  <c r="G103" i="366"/>
  <c r="G105" i="366"/>
  <c r="G107" i="366"/>
  <c r="G109" i="366"/>
  <c r="G111" i="366"/>
  <c r="F29" i="365"/>
  <c r="J29" i="365" s="1"/>
  <c r="J30" i="365"/>
  <c r="F31" i="365"/>
  <c r="J31" i="365" s="1"/>
  <c r="N43" i="365"/>
  <c r="N48" i="365"/>
  <c r="M49" i="365"/>
  <c r="P78" i="367"/>
  <c r="P76" i="367"/>
  <c r="P79" i="367"/>
  <c r="P87" i="367" s="1"/>
  <c r="P77" i="367"/>
  <c r="K40" i="362"/>
  <c r="AI58" i="368" l="1"/>
  <c r="AG58" i="368"/>
  <c r="AI51" i="368"/>
  <c r="AG51" i="368"/>
  <c r="AI55" i="368"/>
  <c r="AG55" i="368"/>
  <c r="L37" i="365"/>
  <c r="K37" i="365"/>
  <c r="L36" i="365"/>
  <c r="K36" i="365"/>
  <c r="K32" i="365"/>
  <c r="L32" i="365"/>
  <c r="K38" i="364"/>
  <c r="L38" i="364"/>
  <c r="L41" i="364"/>
  <c r="L33" i="365"/>
  <c r="K33" i="365"/>
  <c r="L34" i="364"/>
  <c r="K31" i="365"/>
  <c r="I26" i="365"/>
  <c r="L31" i="365"/>
  <c r="K42" i="364"/>
  <c r="L42" i="364"/>
  <c r="K30" i="365"/>
  <c r="L30" i="365"/>
  <c r="L31" i="364"/>
  <c r="K31" i="364"/>
  <c r="I21" i="365"/>
  <c r="J21" i="364"/>
  <c r="I13" i="364"/>
  <c r="I16" i="365"/>
  <c r="J24" i="364"/>
  <c r="J22" i="364"/>
  <c r="L32" i="364"/>
  <c r="P84" i="367"/>
  <c r="P88" i="367" s="1"/>
  <c r="P80" i="367"/>
  <c r="K29" i="365"/>
  <c r="L29" i="365"/>
  <c r="J23" i="364"/>
  <c r="I23" i="365"/>
  <c r="I15" i="365"/>
  <c r="L36" i="364"/>
  <c r="K36" i="364"/>
  <c r="I28" i="364"/>
  <c r="K41" i="364" s="1"/>
  <c r="J18" i="364"/>
  <c r="J25" i="364"/>
  <c r="L34" i="365"/>
  <c r="K34" i="365"/>
  <c r="L37" i="364"/>
  <c r="K37" i="364"/>
  <c r="L35" i="365"/>
  <c r="K35" i="365"/>
  <c r="L39" i="364"/>
  <c r="K39" i="364"/>
  <c r="J26" i="364"/>
  <c r="J17" i="364"/>
  <c r="L40" i="364"/>
  <c r="K40" i="364"/>
  <c r="Q46" i="362"/>
  <c r="D46" i="362"/>
  <c r="Q33" i="362"/>
  <c r="D33" i="362"/>
  <c r="A49" i="362"/>
  <c r="A50" i="362"/>
  <c r="A51" i="362"/>
  <c r="A52" i="362"/>
  <c r="A53" i="362"/>
  <c r="A54" i="362"/>
  <c r="A55" i="362"/>
  <c r="A56" i="362"/>
  <c r="A48" i="362"/>
  <c r="A36" i="362"/>
  <c r="A37" i="362"/>
  <c r="A38" i="362"/>
  <c r="A39" i="362"/>
  <c r="A40" i="362"/>
  <c r="A41" i="362"/>
  <c r="A42" i="362"/>
  <c r="A43" i="362"/>
  <c r="A35" i="362"/>
  <c r="N49" i="362"/>
  <c r="N50" i="362"/>
  <c r="N51" i="362"/>
  <c r="N52" i="362"/>
  <c r="N53" i="362"/>
  <c r="N54" i="362"/>
  <c r="N55" i="362"/>
  <c r="N56" i="362"/>
  <c r="N57" i="362"/>
  <c r="N58" i="362"/>
  <c r="N59" i="362"/>
  <c r="N60" i="362"/>
  <c r="N61" i="362"/>
  <c r="N48" i="362"/>
  <c r="N36" i="362"/>
  <c r="N37" i="362"/>
  <c r="N38" i="362"/>
  <c r="N39" i="362"/>
  <c r="N40" i="362"/>
  <c r="N41" i="362"/>
  <c r="N42" i="362"/>
  <c r="N43" i="362"/>
  <c r="N35" i="362"/>
  <c r="I26" i="364" l="1"/>
  <c r="I18" i="364"/>
  <c r="I20" i="364"/>
  <c r="I19" i="364"/>
  <c r="I17" i="364"/>
  <c r="I22" i="364"/>
  <c r="I25" i="364"/>
  <c r="I27" i="364"/>
  <c r="I16" i="364"/>
  <c r="I24" i="364"/>
  <c r="I23" i="364"/>
  <c r="K32" i="364"/>
  <c r="I21" i="364"/>
  <c r="K34" i="364"/>
  <c r="K33" i="364"/>
  <c r="K35" i="364"/>
  <c r="X57" i="362"/>
  <c r="X56" i="362"/>
  <c r="X54" i="362"/>
  <c r="X59" i="362" l="1"/>
  <c r="U28" i="362"/>
  <c r="S58" i="362" l="1"/>
  <c r="X48" i="362"/>
  <c r="Y48" i="362" s="1"/>
  <c r="AE61" i="362"/>
  <c r="X61" i="362"/>
  <c r="Y61" i="362" s="1"/>
  <c r="AE60" i="362"/>
  <c r="Y60" i="362"/>
  <c r="X60" i="362"/>
  <c r="S60" i="362"/>
  <c r="AF60" i="362" s="1"/>
  <c r="AE59" i="362"/>
  <c r="AE58" i="362"/>
  <c r="Y58" i="362"/>
  <c r="X58" i="362"/>
  <c r="AF58" i="362"/>
  <c r="AE57" i="362"/>
  <c r="Y57" i="362"/>
  <c r="AE56" i="362"/>
  <c r="Y56" i="362"/>
  <c r="S56" i="362"/>
  <c r="Z56" i="362" s="1"/>
  <c r="K56" i="362"/>
  <c r="J56" i="362"/>
  <c r="I56" i="362"/>
  <c r="G56" i="362"/>
  <c r="F56" i="362"/>
  <c r="AE55" i="362"/>
  <c r="Y55" i="362"/>
  <c r="X55" i="362"/>
  <c r="S55" i="362"/>
  <c r="T55" i="362" s="1"/>
  <c r="L55" i="362"/>
  <c r="K55" i="362"/>
  <c r="J55" i="362"/>
  <c r="I55" i="362"/>
  <c r="G55" i="362"/>
  <c r="F55" i="362"/>
  <c r="AE54" i="362"/>
  <c r="Y54" i="362"/>
  <c r="S54" i="362"/>
  <c r="Z54" i="362" s="1"/>
  <c r="AE53" i="362"/>
  <c r="X53" i="362"/>
  <c r="M53" i="362"/>
  <c r="L53" i="362"/>
  <c r="K53" i="362"/>
  <c r="J53" i="362"/>
  <c r="I53" i="362"/>
  <c r="G53" i="362"/>
  <c r="F53" i="362"/>
  <c r="AE52" i="362"/>
  <c r="X52" i="362"/>
  <c r="M52" i="362"/>
  <c r="L52" i="362"/>
  <c r="K52" i="362"/>
  <c r="L56" i="362" s="1"/>
  <c r="J52" i="362"/>
  <c r="I52" i="362"/>
  <c r="G52" i="362"/>
  <c r="F52" i="362"/>
  <c r="AH51" i="362"/>
  <c r="AE51" i="362"/>
  <c r="Z51" i="362"/>
  <c r="Y51" i="362"/>
  <c r="X51" i="362"/>
  <c r="S51" i="362"/>
  <c r="K51" i="362"/>
  <c r="L51" i="362" s="1"/>
  <c r="J51" i="362"/>
  <c r="I51" i="362"/>
  <c r="AE50" i="362"/>
  <c r="X50" i="362"/>
  <c r="S50" i="362" s="1"/>
  <c r="K50" i="362"/>
  <c r="L50" i="362" s="1"/>
  <c r="J50" i="362"/>
  <c r="I50" i="362"/>
  <c r="F50" i="362"/>
  <c r="AE49" i="362"/>
  <c r="X49" i="362"/>
  <c r="M49" i="362"/>
  <c r="L49" i="362"/>
  <c r="K49" i="362"/>
  <c r="J49" i="362"/>
  <c r="I49" i="362"/>
  <c r="G49" i="362"/>
  <c r="F49" i="362"/>
  <c r="AE48" i="362"/>
  <c r="M48" i="362"/>
  <c r="L48" i="362"/>
  <c r="K48" i="362"/>
  <c r="J48" i="362"/>
  <c r="I48" i="362"/>
  <c r="G48" i="362"/>
  <c r="F48" i="362"/>
  <c r="Y43" i="362"/>
  <c r="X43" i="362"/>
  <c r="W43" i="362"/>
  <c r="V43" i="362"/>
  <c r="T43" i="362"/>
  <c r="S43" i="362"/>
  <c r="E43" i="362"/>
  <c r="X42" i="362"/>
  <c r="Y42" i="362" s="1"/>
  <c r="AD42" i="362" s="1"/>
  <c r="W42" i="362"/>
  <c r="V42" i="362"/>
  <c r="E42" i="362"/>
  <c r="E41" i="362"/>
  <c r="Z40" i="362"/>
  <c r="Y40" i="362"/>
  <c r="X40" i="362"/>
  <c r="W40" i="362"/>
  <c r="V40" i="362"/>
  <c r="T40" i="362"/>
  <c r="S40" i="362"/>
  <c r="E40" i="362"/>
  <c r="Z39" i="362"/>
  <c r="Y39" i="362"/>
  <c r="X39" i="362"/>
  <c r="W39" i="362"/>
  <c r="V39" i="362"/>
  <c r="T39" i="362"/>
  <c r="S39" i="362"/>
  <c r="K39" i="362"/>
  <c r="F39" i="362"/>
  <c r="G39" i="362" s="1"/>
  <c r="X38" i="362"/>
  <c r="Y38" i="362" s="1"/>
  <c r="W38" i="362"/>
  <c r="V38" i="362"/>
  <c r="S38" i="362"/>
  <c r="E38" i="362"/>
  <c r="X37" i="362"/>
  <c r="Y37" i="362" s="1"/>
  <c r="W37" i="362"/>
  <c r="V37" i="362"/>
  <c r="E37" i="362"/>
  <c r="X36" i="362"/>
  <c r="Y36" i="362" s="1"/>
  <c r="W36" i="362"/>
  <c r="V36" i="362"/>
  <c r="E36" i="362"/>
  <c r="X35" i="362"/>
  <c r="Y35" i="362" s="1"/>
  <c r="W35" i="362"/>
  <c r="V35" i="362"/>
  <c r="S35" i="362"/>
  <c r="E35" i="362"/>
  <c r="V30" i="362"/>
  <c r="U30" i="362"/>
  <c r="V29" i="362"/>
  <c r="U29" i="362"/>
  <c r="V28" i="362"/>
  <c r="V27" i="362"/>
  <c r="U27" i="362"/>
  <c r="V26" i="362"/>
  <c r="U26" i="362"/>
  <c r="V25" i="362"/>
  <c r="U25" i="362"/>
  <c r="J25" i="362"/>
  <c r="V24" i="362"/>
  <c r="U24" i="362"/>
  <c r="J24" i="362"/>
  <c r="V23" i="362"/>
  <c r="U23" i="362"/>
  <c r="V22" i="362"/>
  <c r="U22" i="362"/>
  <c r="K22" i="362"/>
  <c r="J22" i="362"/>
  <c r="V21" i="362"/>
  <c r="U21" i="362"/>
  <c r="K21" i="362"/>
  <c r="J21" i="362"/>
  <c r="V20" i="362"/>
  <c r="U20" i="362"/>
  <c r="K20" i="362"/>
  <c r="J20" i="362"/>
  <c r="V19" i="362"/>
  <c r="U19" i="362"/>
  <c r="K19" i="362"/>
  <c r="J19" i="362"/>
  <c r="V18" i="362"/>
  <c r="U18" i="362"/>
  <c r="K18" i="362"/>
  <c r="J18" i="362"/>
  <c r="V17" i="362"/>
  <c r="U17" i="362"/>
  <c r="K17" i="362"/>
  <c r="J17" i="362"/>
  <c r="U13" i="362"/>
  <c r="U12" i="362"/>
  <c r="V10" i="362"/>
  <c r="U10" i="362"/>
  <c r="V9" i="362"/>
  <c r="U9" i="362"/>
  <c r="J9" i="362"/>
  <c r="V8" i="362"/>
  <c r="U8" i="362"/>
  <c r="D8" i="362"/>
  <c r="V7" i="362"/>
  <c r="U7" i="362"/>
  <c r="D7" i="362"/>
  <c r="V6" i="362"/>
  <c r="U6" i="362"/>
  <c r="D6" i="362"/>
  <c r="V5" i="362"/>
  <c r="U5" i="362"/>
  <c r="D5" i="362"/>
  <c r="K43" i="362" l="1"/>
  <c r="F43" i="362" s="1"/>
  <c r="G43" i="362" s="1"/>
  <c r="AD36" i="362"/>
  <c r="E6" i="362" s="1"/>
  <c r="J6" i="362" s="1"/>
  <c r="AD39" i="362"/>
  <c r="AD43" i="362"/>
  <c r="S52" i="362"/>
  <c r="AF52" i="362" s="1"/>
  <c r="S48" i="362"/>
  <c r="Y52" i="362"/>
  <c r="AD37" i="362" s="1"/>
  <c r="T35" i="362"/>
  <c r="Z35" i="362"/>
  <c r="K36" i="362"/>
  <c r="F36" i="362" s="1"/>
  <c r="G36" i="362" s="1"/>
  <c r="K42" i="362"/>
  <c r="F42" i="362" s="1"/>
  <c r="G42" i="362" s="1"/>
  <c r="AD41" i="362"/>
  <c r="K54" i="362" s="1"/>
  <c r="S49" i="362"/>
  <c r="Y49" i="362"/>
  <c r="AH50" i="362"/>
  <c r="Z50" i="362"/>
  <c r="AF50" i="362"/>
  <c r="S36" i="362"/>
  <c r="S42" i="362"/>
  <c r="T42" i="362" s="1"/>
  <c r="S37" i="362"/>
  <c r="AD38" i="362"/>
  <c r="AF51" i="362"/>
  <c r="T51" i="362"/>
  <c r="AG55" i="362"/>
  <c r="AI55" i="362"/>
  <c r="AD35" i="362"/>
  <c r="T38" i="362"/>
  <c r="Z38" i="362"/>
  <c r="AD40" i="362"/>
  <c r="J10" i="362" s="1"/>
  <c r="M50" i="362"/>
  <c r="G50" i="362"/>
  <c r="T50" i="362"/>
  <c r="S53" i="362"/>
  <c r="Y53" i="362"/>
  <c r="T54" i="362"/>
  <c r="AF54" i="362"/>
  <c r="AH54" i="362"/>
  <c r="AH56" i="362"/>
  <c r="Z58" i="362"/>
  <c r="AH58" i="362"/>
  <c r="Z60" i="362"/>
  <c r="AH60" i="362"/>
  <c r="F51" i="362"/>
  <c r="AH52" i="362"/>
  <c r="T56" i="362"/>
  <c r="T58" i="362"/>
  <c r="T60" i="362"/>
  <c r="K41" i="362"/>
  <c r="F41" i="362" s="1"/>
  <c r="G41" i="362" s="1"/>
  <c r="Y50" i="362"/>
  <c r="AF55" i="362"/>
  <c r="AF56" i="362"/>
  <c r="S57" i="362"/>
  <c r="S61" i="362"/>
  <c r="Z55" i="362"/>
  <c r="AH55" i="362"/>
  <c r="AA8" i="361"/>
  <c r="F40" i="362" l="1"/>
  <c r="G40" i="362" s="1"/>
  <c r="Z48" i="362"/>
  <c r="Z52" i="362"/>
  <c r="T52" i="362"/>
  <c r="AG52" i="362" s="1"/>
  <c r="AF48" i="362"/>
  <c r="T48" i="362"/>
  <c r="AI48" i="362" s="1"/>
  <c r="AH48" i="362"/>
  <c r="K37" i="362"/>
  <c r="F37" i="362" s="1"/>
  <c r="G37" i="362" s="1"/>
  <c r="E7" i="362"/>
  <c r="J7" i="362" s="1"/>
  <c r="T61" i="362"/>
  <c r="AH61" i="362"/>
  <c r="Z61" i="362"/>
  <c r="AF61" i="362"/>
  <c r="AG56" i="362"/>
  <c r="AI56" i="362"/>
  <c r="T57" i="362"/>
  <c r="AH57" i="362"/>
  <c r="Z57" i="362"/>
  <c r="AF57" i="362"/>
  <c r="AI52" i="362"/>
  <c r="T53" i="362"/>
  <c r="AH53" i="362"/>
  <c r="Z53" i="362"/>
  <c r="AF53" i="362"/>
  <c r="K38" i="362"/>
  <c r="F38" i="362" s="1"/>
  <c r="G38" i="362" s="1"/>
  <c r="E8" i="362"/>
  <c r="J8" i="362" s="1"/>
  <c r="Z36" i="362"/>
  <c r="T36" i="362"/>
  <c r="AG60" i="362"/>
  <c r="AI60" i="362"/>
  <c r="M51" i="362"/>
  <c r="G51" i="362"/>
  <c r="AG50" i="362"/>
  <c r="AI50" i="362"/>
  <c r="T37" i="362"/>
  <c r="Z37" i="362"/>
  <c r="T49" i="362"/>
  <c r="AH49" i="362"/>
  <c r="Z49" i="362"/>
  <c r="AF49" i="362"/>
  <c r="AG58" i="362"/>
  <c r="AI58" i="362"/>
  <c r="AG54" i="362"/>
  <c r="AI54" i="362"/>
  <c r="AG51" i="362"/>
  <c r="AI51" i="362"/>
  <c r="X41" i="362"/>
  <c r="L54" i="362"/>
  <c r="F54" i="362"/>
  <c r="G54" i="362" s="1"/>
  <c r="K35" i="362"/>
  <c r="F35" i="362" s="1"/>
  <c r="G35" i="362" s="1"/>
  <c r="E5" i="362"/>
  <c r="J5" i="362" s="1"/>
  <c r="Y84" i="361"/>
  <c r="R84" i="361"/>
  <c r="AB83" i="361"/>
  <c r="Y83" i="361"/>
  <c r="R83" i="361"/>
  <c r="N83" i="361"/>
  <c r="G83" i="361"/>
  <c r="AB82" i="361"/>
  <c r="Y82" i="361"/>
  <c r="U82" i="361"/>
  <c r="R82" i="361"/>
  <c r="U83" i="361" s="1"/>
  <c r="N82" i="361"/>
  <c r="G82" i="361"/>
  <c r="Y81" i="361"/>
  <c r="R81" i="361"/>
  <c r="AB60" i="361"/>
  <c r="AA60" i="361"/>
  <c r="Y60" i="361"/>
  <c r="U60" i="361"/>
  <c r="T60" i="361"/>
  <c r="R60" i="361"/>
  <c r="N60" i="361"/>
  <c r="M60" i="361"/>
  <c r="G60" i="361"/>
  <c r="F60" i="361"/>
  <c r="AA59" i="361"/>
  <c r="Y59" i="361"/>
  <c r="AB59" i="361" s="1"/>
  <c r="T59" i="361"/>
  <c r="R59" i="361"/>
  <c r="U59" i="361" s="1"/>
  <c r="U53" i="361" s="1"/>
  <c r="N59" i="361"/>
  <c r="M59" i="361"/>
  <c r="N54" i="361" s="1"/>
  <c r="G59" i="361"/>
  <c r="G54" i="361" s="1"/>
  <c r="F59" i="361"/>
  <c r="Y58" i="361"/>
  <c r="AA58" i="361" s="1"/>
  <c r="T58" i="361"/>
  <c r="U54" i="361" s="1"/>
  <c r="R58" i="361"/>
  <c r="M58" i="361"/>
  <c r="F58" i="361"/>
  <c r="AB57" i="361"/>
  <c r="AA57" i="361"/>
  <c r="Y57" i="361"/>
  <c r="U57" i="361"/>
  <c r="T57" i="361"/>
  <c r="R57" i="361"/>
  <c r="M57" i="361"/>
  <c r="F57" i="361"/>
  <c r="AB35" i="361"/>
  <c r="AA35" i="361"/>
  <c r="Y35" i="361"/>
  <c r="T35" i="361"/>
  <c r="R35" i="361"/>
  <c r="U35" i="361" s="1"/>
  <c r="N35" i="361"/>
  <c r="M35" i="361"/>
  <c r="G35" i="361"/>
  <c r="F35" i="361"/>
  <c r="AA34" i="361"/>
  <c r="Y34" i="361"/>
  <c r="AB34" i="361" s="1"/>
  <c r="U34" i="361"/>
  <c r="T34" i="361"/>
  <c r="R34" i="361"/>
  <c r="N34" i="361"/>
  <c r="M34" i="361"/>
  <c r="N29" i="361" s="1"/>
  <c r="G34" i="361"/>
  <c r="F34" i="361"/>
  <c r="Y33" i="361"/>
  <c r="AA33" i="361" s="1"/>
  <c r="R33" i="361"/>
  <c r="T33" i="361" s="1"/>
  <c r="M33" i="361"/>
  <c r="F33" i="361"/>
  <c r="AB32" i="361"/>
  <c r="AA32" i="361"/>
  <c r="Y32" i="361"/>
  <c r="U32" i="361"/>
  <c r="T32" i="361"/>
  <c r="R32" i="361"/>
  <c r="M32" i="361"/>
  <c r="F32" i="361"/>
  <c r="G29" i="361"/>
  <c r="G28" i="361"/>
  <c r="AA10" i="361"/>
  <c r="Y10" i="361"/>
  <c r="AB10" i="361" s="1"/>
  <c r="U10" i="361"/>
  <c r="T10" i="361"/>
  <c r="R10" i="361"/>
  <c r="N10" i="361"/>
  <c r="M10" i="361"/>
  <c r="G10" i="361"/>
  <c r="F10" i="361"/>
  <c r="AB9" i="361"/>
  <c r="AB4" i="361" s="1"/>
  <c r="AA9" i="361"/>
  <c r="Y9" i="361"/>
  <c r="T9" i="361"/>
  <c r="R9" i="361"/>
  <c r="U9" i="361" s="1"/>
  <c r="N9" i="361"/>
  <c r="M9" i="361"/>
  <c r="G9" i="361"/>
  <c r="G4" i="361" s="1"/>
  <c r="F9" i="361"/>
  <c r="Y8" i="361"/>
  <c r="R8" i="361"/>
  <c r="T8" i="361" s="1"/>
  <c r="M8" i="361"/>
  <c r="F8" i="361"/>
  <c r="AB7" i="361"/>
  <c r="AA7" i="361"/>
  <c r="Y7" i="361"/>
  <c r="U7" i="361"/>
  <c r="T7" i="361"/>
  <c r="R7" i="361"/>
  <c r="M7" i="361"/>
  <c r="F7" i="361"/>
  <c r="N4" i="361"/>
  <c r="N3" i="361"/>
  <c r="AG48" i="362" l="1"/>
  <c r="AI57" i="362"/>
  <c r="AG57" i="362"/>
  <c r="S59" i="362"/>
  <c r="Y59" i="362"/>
  <c r="S41" i="362"/>
  <c r="T41" i="362" s="1"/>
  <c r="Y41" i="362"/>
  <c r="AI49" i="362"/>
  <c r="AG49" i="362"/>
  <c r="AI53" i="362"/>
  <c r="AG53" i="362"/>
  <c r="AI61" i="362"/>
  <c r="AG61" i="362"/>
  <c r="U3" i="361"/>
  <c r="U4" i="361"/>
  <c r="U29" i="361"/>
  <c r="U28" i="361"/>
  <c r="AB53" i="361"/>
  <c r="AB54" i="361"/>
  <c r="AB29" i="361"/>
  <c r="AB28" i="361"/>
  <c r="N28" i="361"/>
  <c r="G53" i="361"/>
  <c r="AB3" i="361"/>
  <c r="G3" i="361"/>
  <c r="N53" i="361"/>
  <c r="T59" i="362" l="1"/>
  <c r="AH59" i="362"/>
  <c r="Z59" i="362"/>
  <c r="AF59" i="362"/>
  <c r="AB35" i="356"/>
  <c r="AA35" i="356"/>
  <c r="Y35" i="356"/>
  <c r="U35" i="356"/>
  <c r="T35" i="356"/>
  <c r="R35" i="356"/>
  <c r="N35" i="356"/>
  <c r="M35" i="356"/>
  <c r="G35" i="356"/>
  <c r="F35" i="356"/>
  <c r="AA34" i="356"/>
  <c r="Y34" i="356"/>
  <c r="AB34" i="356" s="1"/>
  <c r="T34" i="356"/>
  <c r="R34" i="356"/>
  <c r="U34" i="356" s="1"/>
  <c r="N34" i="356"/>
  <c r="M34" i="356"/>
  <c r="G34" i="356"/>
  <c r="G29" i="356" s="1"/>
  <c r="F34" i="356"/>
  <c r="AA33" i="356"/>
  <c r="Y33" i="356"/>
  <c r="R33" i="356"/>
  <c r="T33" i="356" s="1"/>
  <c r="M33" i="356"/>
  <c r="F33" i="356"/>
  <c r="AB32" i="356"/>
  <c r="AA32" i="356"/>
  <c r="Y32" i="356"/>
  <c r="U32" i="356"/>
  <c r="T32" i="356"/>
  <c r="R32" i="356"/>
  <c r="M32" i="356"/>
  <c r="F32" i="356"/>
  <c r="N29" i="356"/>
  <c r="N28" i="356"/>
  <c r="AI59" i="362" l="1"/>
  <c r="AG59" i="362"/>
  <c r="U29" i="356"/>
  <c r="U28" i="356"/>
  <c r="AB29" i="356"/>
  <c r="AB28" i="356"/>
  <c r="G28" i="356"/>
  <c r="G9" i="356"/>
  <c r="N9" i="356"/>
  <c r="AA10" i="356" l="1"/>
  <c r="Y10" i="356"/>
  <c r="AB10" i="356" s="1"/>
  <c r="T10" i="356"/>
  <c r="R10" i="356"/>
  <c r="U10" i="356" s="1"/>
  <c r="N10" i="356"/>
  <c r="M10" i="356"/>
  <c r="G10" i="356"/>
  <c r="F10" i="356"/>
  <c r="AA9" i="356"/>
  <c r="Y9" i="356"/>
  <c r="AB9" i="356" s="1"/>
  <c r="T9" i="356"/>
  <c r="R9" i="356"/>
  <c r="U9" i="356" s="1"/>
  <c r="M9" i="356"/>
  <c r="N4" i="356" s="1"/>
  <c r="F9" i="356"/>
  <c r="Y8" i="356"/>
  <c r="R8" i="356"/>
  <c r="F8" i="356"/>
  <c r="G4" i="356" s="1"/>
  <c r="AB7" i="356"/>
  <c r="AA7" i="356"/>
  <c r="Y7" i="356"/>
  <c r="U7" i="356"/>
  <c r="T7" i="356"/>
  <c r="R7" i="356"/>
  <c r="M7" i="356"/>
  <c r="F7" i="356"/>
  <c r="N3" i="356"/>
  <c r="AA60" i="356"/>
  <c r="AA59" i="356"/>
  <c r="AB57" i="356"/>
  <c r="AA57" i="356"/>
  <c r="T60" i="356"/>
  <c r="T59" i="356"/>
  <c r="U57" i="356"/>
  <c r="T57" i="356"/>
  <c r="N60" i="356"/>
  <c r="M60" i="356"/>
  <c r="N59" i="356"/>
  <c r="M59" i="356"/>
  <c r="M58" i="356"/>
  <c r="N54" i="356" s="1"/>
  <c r="M57" i="356"/>
  <c r="G60" i="356"/>
  <c r="F60" i="356"/>
  <c r="G59" i="356"/>
  <c r="F59" i="356"/>
  <c r="F58" i="356"/>
  <c r="G54" i="356" s="1"/>
  <c r="F57" i="356"/>
  <c r="G53" i="356" l="1"/>
  <c r="N53" i="356"/>
  <c r="AB4" i="356"/>
  <c r="U4" i="356"/>
  <c r="U3" i="356"/>
  <c r="AB3" i="356"/>
  <c r="G3" i="356"/>
  <c r="Y84" i="356"/>
  <c r="R84" i="356"/>
  <c r="Y83" i="356"/>
  <c r="R83" i="356"/>
  <c r="N83" i="356"/>
  <c r="G83" i="356"/>
  <c r="Y82" i="356"/>
  <c r="AB83" i="356" s="1"/>
  <c r="R82" i="356"/>
  <c r="U83" i="356" s="1"/>
  <c r="N82" i="356"/>
  <c r="G82" i="356"/>
  <c r="Y81" i="356"/>
  <c r="R81" i="356"/>
  <c r="AB82" i="356" l="1"/>
  <c r="U82" i="356"/>
  <c r="X52" i="360"/>
  <c r="X55" i="360" l="1"/>
  <c r="X58" i="360"/>
  <c r="X53" i="360"/>
  <c r="X50" i="360"/>
  <c r="X49" i="360"/>
  <c r="X48" i="360"/>
  <c r="AE49" i="360" l="1"/>
  <c r="AE50" i="360"/>
  <c r="AE51" i="360"/>
  <c r="AI51" i="360" s="1"/>
  <c r="AE52" i="360"/>
  <c r="AE53" i="360"/>
  <c r="AE54" i="360"/>
  <c r="AI54" i="360" s="1"/>
  <c r="AE55" i="360"/>
  <c r="AE56" i="360"/>
  <c r="AI56" i="360" s="1"/>
  <c r="AE57" i="360"/>
  <c r="AI57" i="360" s="1"/>
  <c r="AE58" i="360"/>
  <c r="AE59" i="360"/>
  <c r="AI59" i="360" s="1"/>
  <c r="AE60" i="360"/>
  <c r="AI60" i="360" s="1"/>
  <c r="AE61" i="360"/>
  <c r="AI61" i="360" s="1"/>
  <c r="AE48" i="360"/>
  <c r="AG51" i="360"/>
  <c r="AG54" i="360"/>
  <c r="AG56" i="360"/>
  <c r="AG57" i="360"/>
  <c r="AG59" i="360"/>
  <c r="AG60" i="360"/>
  <c r="AG61" i="360"/>
  <c r="AF51" i="360"/>
  <c r="AF54" i="360"/>
  <c r="AF56" i="360"/>
  <c r="AF57" i="360"/>
  <c r="AF59" i="360"/>
  <c r="AF60" i="360"/>
  <c r="AF61" i="360"/>
  <c r="AH51" i="360"/>
  <c r="AH54" i="360"/>
  <c r="AH56" i="360"/>
  <c r="AH57" i="360"/>
  <c r="AH59" i="360"/>
  <c r="AH60" i="360"/>
  <c r="AH61" i="360"/>
  <c r="T61" i="360" l="1"/>
  <c r="T60" i="360"/>
  <c r="T59" i="360"/>
  <c r="T57" i="360"/>
  <c r="T56" i="360"/>
  <c r="T54" i="360"/>
  <c r="T51" i="360"/>
  <c r="Z61" i="360"/>
  <c r="Z60" i="360"/>
  <c r="Z59" i="360"/>
  <c r="Z57" i="360"/>
  <c r="Z56" i="360"/>
  <c r="Z54" i="360"/>
  <c r="Z51" i="360"/>
  <c r="Y61" i="360"/>
  <c r="Y60" i="360"/>
  <c r="Y58" i="360"/>
  <c r="Y57" i="360"/>
  <c r="Y56" i="360"/>
  <c r="Y55" i="360"/>
  <c r="Y54" i="360"/>
  <c r="Y53" i="360"/>
  <c r="Y51" i="360"/>
  <c r="V28" i="360" l="1"/>
  <c r="V29" i="360"/>
  <c r="V30" i="360"/>
  <c r="U27" i="360"/>
  <c r="U17" i="360" l="1"/>
  <c r="V17" i="360"/>
  <c r="U19" i="360" l="1"/>
  <c r="V19" i="360"/>
  <c r="V24" i="360" l="1"/>
  <c r="V25" i="360"/>
  <c r="V26" i="360"/>
  <c r="V27" i="360"/>
  <c r="V22" i="360"/>
  <c r="U22" i="360"/>
  <c r="U24" i="360"/>
  <c r="X51" i="360" l="1"/>
  <c r="S51" i="360"/>
  <c r="S58" i="360"/>
  <c r="S55" i="360"/>
  <c r="S53" i="360"/>
  <c r="S52" i="360" l="1"/>
  <c r="Y52" i="360"/>
  <c r="AH58" i="360"/>
  <c r="AF58" i="360"/>
  <c r="Z58" i="360"/>
  <c r="T58" i="360"/>
  <c r="AF55" i="360"/>
  <c r="AH55" i="360"/>
  <c r="T55" i="360"/>
  <c r="Z55" i="360"/>
  <c r="AH53" i="360"/>
  <c r="AF53" i="360"/>
  <c r="T53" i="360"/>
  <c r="Z53" i="360"/>
  <c r="S48" i="360"/>
  <c r="Y48" i="360"/>
  <c r="S50" i="360"/>
  <c r="Y50" i="360"/>
  <c r="R168" i="351"/>
  <c r="R169" i="351"/>
  <c r="R170" i="351"/>
  <c r="R171" i="351"/>
  <c r="R172" i="351"/>
  <c r="R173" i="351"/>
  <c r="R174" i="351"/>
  <c r="R175" i="351"/>
  <c r="R176" i="351"/>
  <c r="R177" i="351"/>
  <c r="R178" i="351"/>
  <c r="R179" i="351"/>
  <c r="R180" i="351"/>
  <c r="R181" i="351"/>
  <c r="R182" i="351"/>
  <c r="R183" i="351"/>
  <c r="R184" i="351"/>
  <c r="R167" i="351"/>
  <c r="AF52" i="360" l="1"/>
  <c r="AH52" i="360"/>
  <c r="T52" i="360"/>
  <c r="Z52" i="360"/>
  <c r="AG58" i="360"/>
  <c r="AI58" i="360"/>
  <c r="AG55" i="360"/>
  <c r="AI55" i="360"/>
  <c r="AG53" i="360"/>
  <c r="AI53" i="360"/>
  <c r="AF48" i="360"/>
  <c r="AH48" i="360"/>
  <c r="T48" i="360"/>
  <c r="Z48" i="360"/>
  <c r="AF50" i="360"/>
  <c r="AH50" i="360"/>
  <c r="Z50" i="360"/>
  <c r="T50" i="360"/>
  <c r="K161" i="351"/>
  <c r="K160" i="351"/>
  <c r="K159" i="351"/>
  <c r="K158" i="351"/>
  <c r="K157" i="351"/>
  <c r="K156" i="351"/>
  <c r="K155" i="351"/>
  <c r="K154" i="351"/>
  <c r="K153" i="351"/>
  <c r="K152" i="351"/>
  <c r="K151" i="351"/>
  <c r="K150" i="351"/>
  <c r="K148" i="351"/>
  <c r="J144" i="351"/>
  <c r="F100" i="351"/>
  <c r="E100" i="351"/>
  <c r="Q167" i="351" s="1"/>
  <c r="F99" i="351"/>
  <c r="E99" i="351"/>
  <c r="AG52" i="360" l="1"/>
  <c r="AI52" i="360"/>
  <c r="AG48" i="360"/>
  <c r="AI48" i="360"/>
  <c r="AG50" i="360"/>
  <c r="AI50" i="360"/>
  <c r="Q176" i="351"/>
  <c r="Q169" i="351"/>
  <c r="Q173" i="351"/>
  <c r="Q177" i="351"/>
  <c r="Q181" i="351"/>
  <c r="Q168" i="351"/>
  <c r="Q170" i="351"/>
  <c r="Q174" i="351"/>
  <c r="Q178" i="351"/>
  <c r="Q182" i="351"/>
  <c r="Q171" i="351"/>
  <c r="Q175" i="351"/>
  <c r="Q179" i="351"/>
  <c r="Q183" i="351"/>
  <c r="Q172" i="351"/>
  <c r="Q180" i="351"/>
  <c r="Q184" i="351"/>
  <c r="E43" i="360"/>
  <c r="E42" i="360"/>
  <c r="E41" i="360"/>
  <c r="X61" i="360" l="1"/>
  <c r="S61" i="360" s="1"/>
  <c r="X60" i="360"/>
  <c r="S60" i="360" s="1"/>
  <c r="K55" i="360"/>
  <c r="F55" i="360" s="1"/>
  <c r="G55" i="360" s="1"/>
  <c r="K56" i="360"/>
  <c r="F56" i="360" s="1"/>
  <c r="G56" i="360" s="1"/>
  <c r="J48" i="360"/>
  <c r="J49" i="360"/>
  <c r="J50" i="360"/>
  <c r="J51" i="360"/>
  <c r="J52" i="360"/>
  <c r="J53" i="360"/>
  <c r="J55" i="360"/>
  <c r="J56" i="360"/>
  <c r="I49" i="360"/>
  <c r="I50" i="360"/>
  <c r="I51" i="360"/>
  <c r="I52" i="360"/>
  <c r="I53" i="360"/>
  <c r="I55" i="360"/>
  <c r="I56" i="360"/>
  <c r="I48" i="360"/>
  <c r="W35" i="360"/>
  <c r="W36" i="360"/>
  <c r="W37" i="360"/>
  <c r="W38" i="360"/>
  <c r="W39" i="360"/>
  <c r="W40" i="360"/>
  <c r="W42" i="360"/>
  <c r="W43" i="360"/>
  <c r="V36" i="360"/>
  <c r="V37" i="360"/>
  <c r="V38" i="360"/>
  <c r="V39" i="360"/>
  <c r="V40" i="360"/>
  <c r="V42" i="360"/>
  <c r="V43" i="360"/>
  <c r="V35" i="360"/>
  <c r="X42" i="360"/>
  <c r="X43" i="360"/>
  <c r="S43" i="360" s="1"/>
  <c r="T43" i="360" s="1"/>
  <c r="X40" i="360"/>
  <c r="S40" i="360"/>
  <c r="T40" i="360" s="1"/>
  <c r="U13" i="360"/>
  <c r="U12" i="360"/>
  <c r="U30" i="360"/>
  <c r="U29" i="360"/>
  <c r="J24" i="360"/>
  <c r="J25" i="360"/>
  <c r="K39" i="360"/>
  <c r="F39" i="360" s="1"/>
  <c r="G39" i="360" s="1"/>
  <c r="J65" i="351"/>
  <c r="J66" i="351"/>
  <c r="J67" i="351"/>
  <c r="J68" i="351"/>
  <c r="J69" i="351"/>
  <c r="J70" i="351"/>
  <c r="J71" i="351"/>
  <c r="J60" i="351"/>
  <c r="J61" i="351"/>
  <c r="J62" i="351"/>
  <c r="J63" i="351"/>
  <c r="J64" i="351"/>
  <c r="J54" i="351"/>
  <c r="I94" i="351"/>
  <c r="H94" i="351"/>
  <c r="I93" i="351"/>
  <c r="H93" i="351"/>
  <c r="I92" i="351"/>
  <c r="H92" i="351"/>
  <c r="I91" i="351"/>
  <c r="H91" i="351"/>
  <c r="I90" i="351"/>
  <c r="H90" i="351"/>
  <c r="I89" i="351"/>
  <c r="H89" i="351"/>
  <c r="I88" i="351"/>
  <c r="H88" i="351"/>
  <c r="I87" i="351"/>
  <c r="H87" i="351"/>
  <c r="I86" i="351"/>
  <c r="H86" i="351"/>
  <c r="I85" i="351"/>
  <c r="H85" i="351"/>
  <c r="I84" i="351"/>
  <c r="H84" i="351"/>
  <c r="I83" i="351"/>
  <c r="H83" i="351"/>
  <c r="L172" i="351"/>
  <c r="L171" i="351"/>
  <c r="L170" i="351"/>
  <c r="L169" i="351"/>
  <c r="L168" i="351"/>
  <c r="I77" i="351"/>
  <c r="L167" i="351" s="1"/>
  <c r="H77" i="351"/>
  <c r="B32" i="1"/>
  <c r="X57" i="360"/>
  <c r="S57" i="360" s="1"/>
  <c r="K53" i="360"/>
  <c r="L53" i="360" s="1"/>
  <c r="X56" i="360"/>
  <c r="K52" i="360"/>
  <c r="F52" i="360" s="1"/>
  <c r="X54" i="360"/>
  <c r="S54" i="360" s="1"/>
  <c r="K51" i="360"/>
  <c r="L51" i="360" s="1"/>
  <c r="K50" i="360"/>
  <c r="F50" i="360" s="1"/>
  <c r="K49" i="360"/>
  <c r="S49" i="360"/>
  <c r="K48" i="360"/>
  <c r="F48" i="360" s="1"/>
  <c r="E40" i="360"/>
  <c r="X39" i="360"/>
  <c r="S39" i="360" s="1"/>
  <c r="X38" i="360"/>
  <c r="S38" i="360" s="1"/>
  <c r="E38" i="360"/>
  <c r="X37" i="360"/>
  <c r="S37" i="360" s="1"/>
  <c r="T37" i="360" s="1"/>
  <c r="E37" i="360"/>
  <c r="X36" i="360"/>
  <c r="S36" i="360" s="1"/>
  <c r="E36" i="360"/>
  <c r="X35" i="360"/>
  <c r="S35" i="360" s="1"/>
  <c r="Z35" i="360" s="1"/>
  <c r="E35" i="360"/>
  <c r="U26" i="360"/>
  <c r="K22" i="360"/>
  <c r="J22" i="360"/>
  <c r="U25" i="360"/>
  <c r="K21" i="360"/>
  <c r="J21" i="360"/>
  <c r="V23" i="360"/>
  <c r="U23" i="360"/>
  <c r="K20" i="360"/>
  <c r="J20" i="360"/>
  <c r="V21" i="360"/>
  <c r="U21" i="360"/>
  <c r="K19" i="360"/>
  <c r="J19" i="360"/>
  <c r="V20" i="360"/>
  <c r="U20" i="360"/>
  <c r="K18" i="360"/>
  <c r="J18" i="360"/>
  <c r="V18" i="360"/>
  <c r="U18" i="360"/>
  <c r="K17" i="360"/>
  <c r="J17" i="360"/>
  <c r="V10" i="360"/>
  <c r="U10" i="360"/>
  <c r="D10" i="360"/>
  <c r="V9" i="360"/>
  <c r="U9" i="360"/>
  <c r="J9" i="360"/>
  <c r="V8" i="360"/>
  <c r="U8" i="360"/>
  <c r="D8" i="360"/>
  <c r="V7" i="360"/>
  <c r="U7" i="360"/>
  <c r="D7" i="360"/>
  <c r="V6" i="360"/>
  <c r="U6" i="360"/>
  <c r="D6" i="360"/>
  <c r="V5" i="360"/>
  <c r="U5" i="360"/>
  <c r="D5" i="360"/>
  <c r="H7" i="350"/>
  <c r="H6" i="350"/>
  <c r="H5" i="350"/>
  <c r="G7" i="350"/>
  <c r="D7" i="350"/>
  <c r="D6" i="350"/>
  <c r="D5" i="350"/>
  <c r="C8" i="350"/>
  <c r="C7" i="350"/>
  <c r="C6" i="350"/>
  <c r="C5" i="350"/>
  <c r="B7" i="350"/>
  <c r="B6" i="350"/>
  <c r="B5" i="350"/>
  <c r="AD53" i="351"/>
  <c r="AC53" i="351"/>
  <c r="AB53" i="351"/>
  <c r="AA53" i="351"/>
  <c r="Z53" i="351"/>
  <c r="Y53" i="351"/>
  <c r="W53" i="351"/>
  <c r="W76" i="351" s="1"/>
  <c r="V53" i="351"/>
  <c r="V76" i="351" s="1"/>
  <c r="U53" i="351"/>
  <c r="U76" i="351" s="1"/>
  <c r="T53" i="351"/>
  <c r="T76" i="351" s="1"/>
  <c r="S53" i="351"/>
  <c r="S76" i="351" s="1"/>
  <c r="R53" i="351"/>
  <c r="R76" i="351" s="1"/>
  <c r="Q53" i="351"/>
  <c r="Q76" i="351" s="1"/>
  <c r="P53" i="351"/>
  <c r="P76" i="351" s="1"/>
  <c r="O53" i="351"/>
  <c r="O76" i="351" s="1"/>
  <c r="N53" i="351"/>
  <c r="N76" i="351" s="1"/>
  <c r="M53" i="351"/>
  <c r="M76" i="351" s="1"/>
  <c r="L53" i="351"/>
  <c r="L76" i="351" s="1"/>
  <c r="D75" i="351"/>
  <c r="C75" i="351"/>
  <c r="F74" i="351"/>
  <c r="E74" i="351"/>
  <c r="D74" i="351"/>
  <c r="C74" i="351"/>
  <c r="E73" i="351"/>
  <c r="D73" i="351"/>
  <c r="C73" i="351"/>
  <c r="E72" i="351"/>
  <c r="D72" i="351"/>
  <c r="C72" i="351"/>
  <c r="J11" i="359"/>
  <c r="G11" i="359"/>
  <c r="D11" i="359"/>
  <c r="F69" i="351"/>
  <c r="D69" i="351"/>
  <c r="C69" i="351"/>
  <c r="G68" i="351"/>
  <c r="F68" i="351"/>
  <c r="E68" i="351"/>
  <c r="D68" i="351"/>
  <c r="C68" i="351"/>
  <c r="G67" i="351"/>
  <c r="F67" i="351"/>
  <c r="E67" i="351"/>
  <c r="D67" i="351"/>
  <c r="C67" i="351"/>
  <c r="G66" i="351"/>
  <c r="F66" i="351"/>
  <c r="E66" i="351"/>
  <c r="D66" i="351"/>
  <c r="C66" i="351"/>
  <c r="D11" i="358"/>
  <c r="D17" i="358"/>
  <c r="C17" i="358"/>
  <c r="G12" i="350"/>
  <c r="G13" i="350"/>
  <c r="G14" i="350"/>
  <c r="G11" i="350"/>
  <c r="V98" i="351" s="1"/>
  <c r="V144" i="351" s="1"/>
  <c r="E11" i="350"/>
  <c r="Z49" i="360" l="1"/>
  <c r="AF49" i="360"/>
  <c r="AH49" i="360"/>
  <c r="F51" i="360"/>
  <c r="G51" i="360" s="1"/>
  <c r="L49" i="360"/>
  <c r="S56" i="360"/>
  <c r="L56" i="360"/>
  <c r="Y40" i="360"/>
  <c r="F53" i="360"/>
  <c r="G53" i="360" s="1"/>
  <c r="Y49" i="360"/>
  <c r="F49" i="360"/>
  <c r="G49" i="360" s="1"/>
  <c r="Y42" i="360"/>
  <c r="Y43" i="360"/>
  <c r="L55" i="360"/>
  <c r="AD42" i="360"/>
  <c r="S42" i="360"/>
  <c r="T42" i="360" s="1"/>
  <c r="L144" i="351"/>
  <c r="G78" i="351"/>
  <c r="G80" i="351"/>
  <c r="G82" i="351"/>
  <c r="G84" i="351"/>
  <c r="H151" i="351" s="1"/>
  <c r="G86" i="351"/>
  <c r="H153" i="351" s="1"/>
  <c r="G88" i="351"/>
  <c r="H155" i="351" s="1"/>
  <c r="G90" i="351"/>
  <c r="H157" i="351" s="1"/>
  <c r="G92" i="351"/>
  <c r="H159" i="351" s="1"/>
  <c r="G94" i="351"/>
  <c r="H161" i="351" s="1"/>
  <c r="L155" i="351"/>
  <c r="O155" i="351" s="1"/>
  <c r="G79" i="351"/>
  <c r="G81" i="351"/>
  <c r="H148" i="351" s="1"/>
  <c r="G83" i="351"/>
  <c r="H150" i="351" s="1"/>
  <c r="G85" i="351"/>
  <c r="H152" i="351" s="1"/>
  <c r="G87" i="351"/>
  <c r="H154" i="351" s="1"/>
  <c r="G89" i="351"/>
  <c r="H156" i="351" s="1"/>
  <c r="G91" i="351"/>
  <c r="H158" i="351" s="1"/>
  <c r="G93" i="351"/>
  <c r="H160" i="351" s="1"/>
  <c r="R122" i="351"/>
  <c r="L145" i="351"/>
  <c r="R124" i="351"/>
  <c r="L147" i="351"/>
  <c r="R126" i="351"/>
  <c r="L149" i="351"/>
  <c r="R128" i="351"/>
  <c r="L151" i="351"/>
  <c r="R130" i="351"/>
  <c r="L153" i="351"/>
  <c r="M153" i="351" s="1"/>
  <c r="R136" i="351"/>
  <c r="L159" i="351"/>
  <c r="M159" i="351" s="1"/>
  <c r="R134" i="351"/>
  <c r="L157" i="351"/>
  <c r="M157" i="351" s="1"/>
  <c r="R138" i="351"/>
  <c r="L161" i="351"/>
  <c r="M161" i="351" s="1"/>
  <c r="X184" i="351" s="1"/>
  <c r="R123" i="351"/>
  <c r="L146" i="351"/>
  <c r="R125" i="351"/>
  <c r="L148" i="351"/>
  <c r="O148" i="351" s="1"/>
  <c r="R127" i="351"/>
  <c r="L150" i="351"/>
  <c r="O150" i="351" s="1"/>
  <c r="R129" i="351"/>
  <c r="L152" i="351"/>
  <c r="M152" i="351" s="1"/>
  <c r="X175" i="351" s="1"/>
  <c r="R131" i="351"/>
  <c r="L154" i="351"/>
  <c r="O154" i="351" s="1"/>
  <c r="R133" i="351"/>
  <c r="L156" i="351"/>
  <c r="O156" i="351" s="1"/>
  <c r="R135" i="351"/>
  <c r="L158" i="351"/>
  <c r="O158" i="351" s="1"/>
  <c r="R137" i="351"/>
  <c r="L160" i="351"/>
  <c r="R132" i="351"/>
  <c r="R121" i="351"/>
  <c r="G77" i="351"/>
  <c r="E98" i="351"/>
  <c r="E101" i="351" s="1"/>
  <c r="T38" i="360"/>
  <c r="Z38" i="360"/>
  <c r="M50" i="360"/>
  <c r="G50" i="360"/>
  <c r="M52" i="360"/>
  <c r="G52" i="360"/>
  <c r="T36" i="360"/>
  <c r="Z36" i="360"/>
  <c r="Z39" i="360"/>
  <c r="T39" i="360"/>
  <c r="M48" i="360"/>
  <c r="G48" i="360"/>
  <c r="Z37" i="360"/>
  <c r="T35" i="360"/>
  <c r="Y36" i="360"/>
  <c r="Y38" i="360"/>
  <c r="Z40" i="360"/>
  <c r="T49" i="360"/>
  <c r="AD40" i="360"/>
  <c r="Y39" i="360"/>
  <c r="L48" i="360"/>
  <c r="L50" i="360"/>
  <c r="L52" i="360"/>
  <c r="Y35" i="360"/>
  <c r="Y37" i="360"/>
  <c r="AG49" i="360" l="1"/>
  <c r="AI49" i="360"/>
  <c r="M51" i="360"/>
  <c r="M53" i="360"/>
  <c r="AD43" i="360"/>
  <c r="K43" i="360" s="1"/>
  <c r="F43" i="360" s="1"/>
  <c r="G43" i="360" s="1"/>
  <c r="M49" i="360"/>
  <c r="AD38" i="360"/>
  <c r="E8" i="360" s="1"/>
  <c r="J8" i="360" s="1"/>
  <c r="AD36" i="360"/>
  <c r="E6" i="360" s="1"/>
  <c r="J6" i="360" s="1"/>
  <c r="K42" i="360"/>
  <c r="F42" i="360" s="1"/>
  <c r="G42" i="360" s="1"/>
  <c r="AD41" i="360"/>
  <c r="M155" i="351"/>
  <c r="X178" i="351" s="1"/>
  <c r="X180" i="351"/>
  <c r="M158" i="351"/>
  <c r="X181" i="351" s="1"/>
  <c r="M154" i="351"/>
  <c r="X177" i="351" s="1"/>
  <c r="O157" i="351"/>
  <c r="O153" i="351"/>
  <c r="X176" i="351"/>
  <c r="X182" i="351"/>
  <c r="M148" i="351"/>
  <c r="O152" i="351"/>
  <c r="O151" i="351"/>
  <c r="M151" i="351"/>
  <c r="M150" i="351"/>
  <c r="M160" i="351"/>
  <c r="M156" i="351"/>
  <c r="O160" i="351"/>
  <c r="O159" i="351"/>
  <c r="O161" i="351"/>
  <c r="E10" i="360"/>
  <c r="J10" i="360" s="1"/>
  <c r="K40" i="360"/>
  <c r="F40" i="360" s="1"/>
  <c r="G40" i="360" s="1"/>
  <c r="AD37" i="360"/>
  <c r="AD35" i="360"/>
  <c r="AD39" i="360"/>
  <c r="Y58" i="356"/>
  <c r="AA58" i="356" s="1"/>
  <c r="Y59" i="356"/>
  <c r="AB59" i="356" s="1"/>
  <c r="Y60" i="356"/>
  <c r="AB60" i="356" s="1"/>
  <c r="Y57" i="356"/>
  <c r="R58" i="356"/>
  <c r="T58" i="356" s="1"/>
  <c r="R59" i="356"/>
  <c r="U59" i="356" s="1"/>
  <c r="R60" i="356"/>
  <c r="U60" i="356" s="1"/>
  <c r="R57" i="356"/>
  <c r="U54" i="356" l="1"/>
  <c r="U53" i="356"/>
  <c r="AB54" i="356"/>
  <c r="AB53" i="356"/>
  <c r="K38" i="360"/>
  <c r="F38" i="360" s="1"/>
  <c r="G38" i="360" s="1"/>
  <c r="K36" i="360"/>
  <c r="F36" i="360" s="1"/>
  <c r="G36" i="360" s="1"/>
  <c r="K54" i="360"/>
  <c r="K41" i="360"/>
  <c r="F41" i="360" s="1"/>
  <c r="G41" i="360" s="1"/>
  <c r="X41" i="360"/>
  <c r="X59" i="360"/>
  <c r="X179" i="351"/>
  <c r="X171" i="351"/>
  <c r="X183" i="351"/>
  <c r="X173" i="351"/>
  <c r="X174" i="351"/>
  <c r="K35" i="360"/>
  <c r="F35" i="360" s="1"/>
  <c r="G35" i="360" s="1"/>
  <c r="E5" i="360"/>
  <c r="J5" i="360" s="1"/>
  <c r="K37" i="360"/>
  <c r="F37" i="360" s="1"/>
  <c r="G37" i="360" s="1"/>
  <c r="E7" i="360"/>
  <c r="J7" i="360" s="1"/>
  <c r="S59" i="360" l="1"/>
  <c r="Y59" i="360"/>
  <c r="S41" i="360"/>
  <c r="T41" i="360" s="1"/>
  <c r="Y41" i="360"/>
  <c r="F54" i="360"/>
  <c r="G54" i="360" s="1"/>
  <c r="L54" i="360"/>
  <c r="H6" i="1"/>
  <c r="L121" i="351"/>
  <c r="Q125" i="351" l="1"/>
  <c r="Q129" i="351"/>
  <c r="Q133" i="351"/>
  <c r="Q137" i="351"/>
  <c r="Q121" i="351"/>
  <c r="Q124" i="351"/>
  <c r="Q128" i="351"/>
  <c r="Q132" i="351"/>
  <c r="Q136" i="351"/>
  <c r="Q123" i="351"/>
  <c r="Q126" i="351"/>
  <c r="Q130" i="351"/>
  <c r="Q134" i="351"/>
  <c r="Q138" i="351"/>
  <c r="Q127" i="351"/>
  <c r="Q131" i="351"/>
  <c r="Q135" i="351"/>
  <c r="Q122" i="351"/>
  <c r="E12" i="350" l="1"/>
  <c r="H12" i="350" l="1"/>
  <c r="L124" i="351"/>
  <c r="E14" i="350" l="1"/>
  <c r="E13" i="350"/>
  <c r="L184" i="351" l="1"/>
  <c r="B32" i="351" l="1"/>
  <c r="L122" i="351" l="1"/>
  <c r="L123" i="351" l="1"/>
  <c r="L125" i="351"/>
  <c r="L126" i="351"/>
  <c r="L127" i="351"/>
  <c r="L128" i="351"/>
  <c r="L129" i="351"/>
  <c r="L130" i="351"/>
  <c r="L131" i="351"/>
  <c r="V145" i="351"/>
  <c r="V147" i="351"/>
  <c r="J77" i="351"/>
  <c r="J98" i="351" s="1"/>
  <c r="P121" i="351" s="1"/>
  <c r="P167" i="351" s="1"/>
  <c r="J99" i="351"/>
  <c r="P122" i="351" s="1"/>
  <c r="P168" i="351" s="1"/>
  <c r="J100" i="351"/>
  <c r="P123" i="351" s="1"/>
  <c r="P169" i="351" s="1"/>
  <c r="H127" i="351"/>
  <c r="H128" i="351"/>
  <c r="H129" i="351"/>
  <c r="H130" i="351"/>
  <c r="H131" i="351"/>
  <c r="H132" i="351"/>
  <c r="H133" i="351"/>
  <c r="H134" i="351"/>
  <c r="H135" i="351"/>
  <c r="H136" i="351"/>
  <c r="H137" i="351"/>
  <c r="H138" i="351"/>
  <c r="H121" i="351"/>
  <c r="H13" i="350"/>
  <c r="E29" i="1"/>
  <c r="E31" i="1" s="1"/>
  <c r="M121" i="351" l="1"/>
  <c r="D98" i="351"/>
  <c r="M122" i="351"/>
  <c r="M168" i="351" s="1"/>
  <c r="N168" i="351" s="1"/>
  <c r="T168" i="351" s="1"/>
  <c r="V146" i="351"/>
  <c r="M128" i="351"/>
  <c r="M174" i="351" s="1"/>
  <c r="M124" i="351"/>
  <c r="M170" i="351" s="1"/>
  <c r="N170" i="351" s="1"/>
  <c r="T170" i="351" s="1"/>
  <c r="M123" i="351"/>
  <c r="M169" i="351" s="1"/>
  <c r="N169" i="351" s="1"/>
  <c r="T169" i="351" s="1"/>
  <c r="H14" i="350"/>
  <c r="M167" i="351" l="1"/>
  <c r="N167" i="351" s="1"/>
  <c r="T167" i="351" s="1"/>
  <c r="N121" i="351"/>
  <c r="N122" i="351"/>
  <c r="T122" i="351" s="1"/>
  <c r="T121" i="351" l="1"/>
  <c r="O121" i="351"/>
  <c r="O122" i="351"/>
  <c r="L183" i="351"/>
  <c r="L182" i="351"/>
  <c r="L181" i="351"/>
  <c r="L180" i="351"/>
  <c r="L179" i="351"/>
  <c r="L178" i="351"/>
  <c r="L177" i="351"/>
  <c r="L176" i="351"/>
  <c r="L175" i="351"/>
  <c r="L174" i="351"/>
  <c r="N174" i="351" s="1"/>
  <c r="T174" i="351" s="1"/>
  <c r="U174" i="351" s="1"/>
  <c r="L173" i="351"/>
  <c r="M31" i="1" l="1"/>
  <c r="K29" i="1"/>
  <c r="K31" i="1" s="1"/>
  <c r="I29" i="1"/>
  <c r="I31" i="1" s="1"/>
  <c r="G29" i="1"/>
  <c r="G31" i="1" s="1"/>
  <c r="V161" i="351"/>
  <c r="J161" i="351"/>
  <c r="V160" i="351"/>
  <c r="J160" i="351"/>
  <c r="V159" i="351"/>
  <c r="J159" i="351"/>
  <c r="V158" i="351"/>
  <c r="J158" i="351"/>
  <c r="V157" i="351"/>
  <c r="J157" i="351"/>
  <c r="V156" i="351"/>
  <c r="J156" i="351"/>
  <c r="V155" i="351"/>
  <c r="J155" i="351"/>
  <c r="V154" i="351"/>
  <c r="J154" i="351"/>
  <c r="V153" i="351"/>
  <c r="J153" i="351"/>
  <c r="V152" i="351"/>
  <c r="J152" i="351"/>
  <c r="V151" i="351"/>
  <c r="V150" i="351"/>
  <c r="V149" i="351"/>
  <c r="V148" i="351"/>
  <c r="L138" i="351"/>
  <c r="L137" i="351"/>
  <c r="L136" i="351"/>
  <c r="L135" i="351"/>
  <c r="L134" i="351"/>
  <c r="L133" i="351"/>
  <c r="L132" i="351"/>
  <c r="B49" i="351"/>
  <c r="B48" i="351"/>
  <c r="B47" i="351"/>
  <c r="B46" i="351"/>
  <c r="B45" i="351"/>
  <c r="B44" i="351"/>
  <c r="B43" i="351"/>
  <c r="B42" i="351"/>
  <c r="B41" i="351"/>
  <c r="B40" i="351"/>
  <c r="B39" i="351"/>
  <c r="B38" i="351"/>
  <c r="O31" i="351"/>
  <c r="N31" i="351"/>
  <c r="M31" i="351"/>
  <c r="L31" i="351"/>
  <c r="K31" i="351"/>
  <c r="J31" i="351"/>
  <c r="H31" i="351"/>
  <c r="G31" i="351"/>
  <c r="F31" i="351"/>
  <c r="E31" i="351"/>
  <c r="D31" i="351"/>
  <c r="C31" i="351"/>
  <c r="P30" i="351"/>
  <c r="P31" i="351" s="1"/>
  <c r="O30" i="351"/>
  <c r="N30" i="351"/>
  <c r="M30" i="351"/>
  <c r="L30" i="351"/>
  <c r="K30" i="351"/>
  <c r="J30" i="351"/>
  <c r="I30" i="351"/>
  <c r="I31" i="351" s="1"/>
  <c r="H30" i="351"/>
  <c r="G30" i="351"/>
  <c r="F30" i="351"/>
  <c r="E30" i="351"/>
  <c r="D30" i="351"/>
  <c r="C30" i="351"/>
  <c r="K143" i="351" l="1"/>
  <c r="J101" i="351"/>
  <c r="P124" i="351" s="1"/>
  <c r="P170" i="351" s="1"/>
  <c r="J102" i="351"/>
  <c r="P125" i="351" s="1"/>
  <c r="P171" i="351" s="1"/>
  <c r="J104" i="351"/>
  <c r="P127" i="351" s="1"/>
  <c r="P173" i="351" s="1"/>
  <c r="J106" i="351"/>
  <c r="P129" i="351" s="1"/>
  <c r="P175" i="351" s="1"/>
  <c r="J108" i="351"/>
  <c r="P131" i="351" s="1"/>
  <c r="P177" i="351" s="1"/>
  <c r="J110" i="351"/>
  <c r="P133" i="351" s="1"/>
  <c r="P179" i="351" s="1"/>
  <c r="J112" i="351"/>
  <c r="P135" i="351" s="1"/>
  <c r="P181" i="351" s="1"/>
  <c r="J114" i="351"/>
  <c r="P137" i="351" s="1"/>
  <c r="P183" i="351" s="1"/>
  <c r="K97" i="351"/>
  <c r="J103" i="351"/>
  <c r="P126" i="351" s="1"/>
  <c r="P172" i="351" s="1"/>
  <c r="J105" i="351"/>
  <c r="P128" i="351" s="1"/>
  <c r="P174" i="351" s="1"/>
  <c r="J107" i="351"/>
  <c r="P130" i="351" s="1"/>
  <c r="P176" i="351" s="1"/>
  <c r="J109" i="351"/>
  <c r="P132" i="351" s="1"/>
  <c r="P178" i="351" s="1"/>
  <c r="J111" i="351"/>
  <c r="P134" i="351" s="1"/>
  <c r="P180" i="351" s="1"/>
  <c r="J113" i="351"/>
  <c r="P136" i="351" s="1"/>
  <c r="P182" i="351" s="1"/>
  <c r="J115" i="351"/>
  <c r="P138" i="351" s="1"/>
  <c r="P184" i="351" s="1"/>
  <c r="M136" i="351"/>
  <c r="M182" i="351" s="1"/>
  <c r="N182" i="351" s="1"/>
  <c r="T182" i="351" s="1"/>
  <c r="U182" i="351" s="1"/>
  <c r="M130" i="351"/>
  <c r="M176" i="351" s="1"/>
  <c r="N176" i="351" s="1"/>
  <c r="T176" i="351" s="1"/>
  <c r="U176" i="351" s="1"/>
  <c r="M132" i="351"/>
  <c r="M178" i="351" s="1"/>
  <c r="N178" i="351" s="1"/>
  <c r="T178" i="351" s="1"/>
  <c r="U178" i="351" s="1"/>
  <c r="M137" i="351"/>
  <c r="M183" i="351" s="1"/>
  <c r="N183" i="351" s="1"/>
  <c r="T183" i="351" s="1"/>
  <c r="U183" i="351" s="1"/>
  <c r="M135" i="351"/>
  <c r="M181" i="351" s="1"/>
  <c r="N181" i="351" s="1"/>
  <c r="T181" i="351" s="1"/>
  <c r="U181" i="351" s="1"/>
  <c r="M133" i="351"/>
  <c r="M179" i="351" s="1"/>
  <c r="N179" i="351" s="1"/>
  <c r="T179" i="351" s="1"/>
  <c r="U179" i="351" s="1"/>
  <c r="M131" i="351"/>
  <c r="M177" i="351" s="1"/>
  <c r="N177" i="351" s="1"/>
  <c r="T177" i="351" s="1"/>
  <c r="U177" i="351" s="1"/>
  <c r="M129" i="351"/>
  <c r="M175" i="351" s="1"/>
  <c r="N175" i="351" s="1"/>
  <c r="T175" i="351" s="1"/>
  <c r="U175" i="351" s="1"/>
  <c r="M127" i="351"/>
  <c r="M173" i="351" s="1"/>
  <c r="N173" i="351" s="1"/>
  <c r="T173" i="351" s="1"/>
  <c r="U173" i="351" s="1"/>
  <c r="M125" i="351"/>
  <c r="M171" i="351" s="1"/>
  <c r="N171" i="351" s="1"/>
  <c r="T171" i="351" s="1"/>
  <c r="U171" i="351" s="1"/>
  <c r="M138" i="351"/>
  <c r="M184" i="351" s="1"/>
  <c r="N184" i="351" s="1"/>
  <c r="T184" i="351" s="1"/>
  <c r="U184" i="351" s="1"/>
  <c r="M134" i="351"/>
  <c r="M180" i="351" s="1"/>
  <c r="N180" i="351" s="1"/>
  <c r="T180" i="351" s="1"/>
  <c r="U180" i="351" s="1"/>
  <c r="M126" i="351"/>
  <c r="M172" i="351" s="1"/>
  <c r="N172" i="351" s="1"/>
  <c r="T172" i="351" s="1"/>
  <c r="R13" i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5" i="1" s="1"/>
  <c r="R26" i="1" s="1"/>
  <c r="T13" i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5" i="1" s="1"/>
  <c r="T26" i="1" s="1"/>
  <c r="X6" i="1"/>
  <c r="E9" i="1"/>
  <c r="E11" i="1" s="1"/>
  <c r="G9" i="1"/>
  <c r="I9" i="1"/>
  <c r="K9" i="1"/>
  <c r="N128" i="351" l="1"/>
  <c r="O128" i="351" s="1"/>
  <c r="N124" i="351"/>
  <c r="O124" i="351" s="1"/>
  <c r="N136" i="351"/>
  <c r="N132" i="351"/>
  <c r="N130" i="351"/>
  <c r="N135" i="351"/>
  <c r="N137" i="351"/>
  <c r="N125" i="351"/>
  <c r="N133" i="351"/>
  <c r="N123" i="351"/>
  <c r="N126" i="351"/>
  <c r="N127" i="351"/>
  <c r="N138" i="351"/>
  <c r="T138" i="351" s="1"/>
  <c r="N131" i="351"/>
  <c r="N129" i="351"/>
  <c r="N134" i="351"/>
  <c r="T134" i="351" l="1"/>
  <c r="O134" i="351"/>
  <c r="T123" i="351"/>
  <c r="O123" i="351"/>
  <c r="T135" i="351"/>
  <c r="O135" i="351"/>
  <c r="T129" i="351"/>
  <c r="O129" i="351"/>
  <c r="O138" i="351"/>
  <c r="T127" i="351"/>
  <c r="O127" i="351"/>
  <c r="T133" i="351"/>
  <c r="O133" i="351"/>
  <c r="T137" i="351"/>
  <c r="O137" i="351"/>
  <c r="T130" i="351"/>
  <c r="O130" i="351"/>
  <c r="T124" i="351"/>
  <c r="T126" i="351"/>
  <c r="O126" i="351"/>
  <c r="T132" i="351"/>
  <c r="O132" i="351"/>
  <c r="T131" i="351"/>
  <c r="O131" i="351"/>
  <c r="T125" i="351"/>
  <c r="O125" i="351"/>
  <c r="T128" i="351"/>
  <c r="T136" i="351"/>
  <c r="O136" i="351"/>
  <c r="K115" i="351" l="1"/>
  <c r="H115" i="351" s="1"/>
  <c r="W184" i="351" l="1"/>
  <c r="K107" i="351"/>
  <c r="L107" i="351" s="1"/>
  <c r="L115" i="351"/>
  <c r="K112" i="351"/>
  <c r="H112" i="351" s="1"/>
  <c r="K106" i="351"/>
  <c r="H106" i="351" s="1"/>
  <c r="K111" i="351"/>
  <c r="K102" i="351"/>
  <c r="L102" i="351" s="1"/>
  <c r="M102" i="351" s="1"/>
  <c r="K114" i="351"/>
  <c r="H114" i="351" s="1"/>
  <c r="K105" i="351"/>
  <c r="H105" i="351" s="1"/>
  <c r="K110" i="351"/>
  <c r="L110" i="351" s="1"/>
  <c r="M110" i="351" s="1"/>
  <c r="K108" i="351"/>
  <c r="K113" i="351"/>
  <c r="K104" i="351"/>
  <c r="K109" i="351"/>
  <c r="M107" i="351" l="1"/>
  <c r="N110" i="351"/>
  <c r="U133" i="351" s="1"/>
  <c r="O110" i="351"/>
  <c r="N102" i="351"/>
  <c r="U125" i="351" s="1"/>
  <c r="C36" i="351" s="1"/>
  <c r="O102" i="351"/>
  <c r="M115" i="351"/>
  <c r="N49" i="351"/>
  <c r="K40" i="351"/>
  <c r="K49" i="351"/>
  <c r="M49" i="351"/>
  <c r="L49" i="351"/>
  <c r="H107" i="351"/>
  <c r="W176" i="351"/>
  <c r="L112" i="351"/>
  <c r="M112" i="351" s="1"/>
  <c r="W181" i="351"/>
  <c r="L106" i="351"/>
  <c r="M106" i="351" s="1"/>
  <c r="W180" i="351"/>
  <c r="H110" i="351"/>
  <c r="L114" i="351"/>
  <c r="M114" i="351" s="1"/>
  <c r="H111" i="351"/>
  <c r="L111" i="351"/>
  <c r="M111" i="351" s="1"/>
  <c r="W174" i="351"/>
  <c r="H102" i="351"/>
  <c r="W179" i="351"/>
  <c r="P44" i="351" s="1"/>
  <c r="L105" i="351"/>
  <c r="M105" i="351" s="1"/>
  <c r="H108" i="351"/>
  <c r="L108" i="351"/>
  <c r="M108" i="351" s="1"/>
  <c r="L113" i="351"/>
  <c r="M113" i="351" s="1"/>
  <c r="H113" i="351"/>
  <c r="W183" i="351"/>
  <c r="W178" i="351"/>
  <c r="W173" i="351"/>
  <c r="H109" i="351"/>
  <c r="L109" i="351"/>
  <c r="M109" i="351" s="1"/>
  <c r="H104" i="351"/>
  <c r="L104" i="351"/>
  <c r="M104" i="351" s="1"/>
  <c r="J49" i="351"/>
  <c r="P49" i="351"/>
  <c r="O49" i="351"/>
  <c r="N104" i="351" l="1"/>
  <c r="U127" i="351" s="1"/>
  <c r="O104" i="351"/>
  <c r="N114" i="351"/>
  <c r="U137" i="351" s="1"/>
  <c r="C48" i="351" s="1"/>
  <c r="O114" i="351"/>
  <c r="N109" i="351"/>
  <c r="U132" i="351" s="1"/>
  <c r="O109" i="351"/>
  <c r="N113" i="351"/>
  <c r="U136" i="351" s="1"/>
  <c r="O113" i="351"/>
  <c r="Q102" i="351"/>
  <c r="F36" i="351" s="1"/>
  <c r="P102" i="351"/>
  <c r="E36" i="351" s="1"/>
  <c r="O107" i="351"/>
  <c r="N107" i="351"/>
  <c r="N106" i="351"/>
  <c r="O106" i="351"/>
  <c r="O112" i="351"/>
  <c r="N112" i="351"/>
  <c r="U135" i="351" s="1"/>
  <c r="C46" i="351" s="1"/>
  <c r="O115" i="351"/>
  <c r="N115" i="351"/>
  <c r="Q110" i="351"/>
  <c r="P110" i="351"/>
  <c r="N108" i="351"/>
  <c r="O108" i="351"/>
  <c r="N105" i="351"/>
  <c r="U128" i="351" s="1"/>
  <c r="C39" i="351" s="1"/>
  <c r="O105" i="351"/>
  <c r="O111" i="351"/>
  <c r="N111" i="351"/>
  <c r="N40" i="351"/>
  <c r="M40" i="351"/>
  <c r="W175" i="351"/>
  <c r="P40" i="351" s="1"/>
  <c r="L40" i="351"/>
  <c r="N46" i="351"/>
  <c r="M46" i="351"/>
  <c r="M39" i="351"/>
  <c r="L46" i="351"/>
  <c r="K46" i="351"/>
  <c r="K39" i="351"/>
  <c r="L39" i="351"/>
  <c r="N39" i="351"/>
  <c r="M44" i="351"/>
  <c r="K44" i="351"/>
  <c r="N44" i="351"/>
  <c r="L44" i="351"/>
  <c r="J40" i="351"/>
  <c r="M43" i="351"/>
  <c r="L43" i="351"/>
  <c r="K43" i="351"/>
  <c r="N43" i="351"/>
  <c r="E44" i="351"/>
  <c r="G44" i="351"/>
  <c r="F44" i="351"/>
  <c r="C44" i="351"/>
  <c r="P46" i="351"/>
  <c r="P39" i="351"/>
  <c r="P43" i="351"/>
  <c r="N41" i="351"/>
  <c r="L41" i="351"/>
  <c r="M41" i="351"/>
  <c r="K41" i="351"/>
  <c r="L48" i="351"/>
  <c r="K48" i="351"/>
  <c r="N48" i="351"/>
  <c r="M48" i="351"/>
  <c r="L38" i="351"/>
  <c r="N38" i="351"/>
  <c r="O38" i="351"/>
  <c r="K38" i="351"/>
  <c r="J38" i="351"/>
  <c r="M38" i="351"/>
  <c r="N45" i="351"/>
  <c r="M45" i="351"/>
  <c r="L45" i="351"/>
  <c r="K45" i="351"/>
  <c r="Q108" i="351" l="1"/>
  <c r="P108" i="351"/>
  <c r="Q112" i="351"/>
  <c r="P112" i="351"/>
  <c r="Q107" i="351"/>
  <c r="P107" i="351"/>
  <c r="P111" i="351"/>
  <c r="Q111" i="351"/>
  <c r="U138" i="351"/>
  <c r="P106" i="351"/>
  <c r="Q106" i="351"/>
  <c r="Q113" i="351"/>
  <c r="P113" i="351"/>
  <c r="Q105" i="351"/>
  <c r="P105" i="351"/>
  <c r="P115" i="351"/>
  <c r="Q115" i="351"/>
  <c r="Q114" i="351"/>
  <c r="P114" i="351"/>
  <c r="Q104" i="351"/>
  <c r="P104" i="351"/>
  <c r="U129" i="351"/>
  <c r="C40" i="351" s="1"/>
  <c r="U130" i="351"/>
  <c r="Q109" i="351"/>
  <c r="P109" i="351"/>
  <c r="J41" i="351"/>
  <c r="E46" i="351"/>
  <c r="J45" i="351"/>
  <c r="D46" i="351"/>
  <c r="E48" i="351"/>
  <c r="H46" i="351"/>
  <c r="F46" i="351"/>
  <c r="G39" i="351"/>
  <c r="J46" i="351"/>
  <c r="F48" i="351"/>
  <c r="E39" i="351"/>
  <c r="F39" i="351"/>
  <c r="D48" i="351"/>
  <c r="J39" i="351"/>
  <c r="U134" i="351"/>
  <c r="J44" i="351"/>
  <c r="O47" i="351"/>
  <c r="U131" i="351"/>
  <c r="E47" i="351"/>
  <c r="G47" i="351"/>
  <c r="F47" i="351"/>
  <c r="C47" i="351"/>
  <c r="D47" i="351"/>
  <c r="W177" i="351"/>
  <c r="P42" i="351" s="1"/>
  <c r="N42" i="351"/>
  <c r="M42" i="351"/>
  <c r="O42" i="351"/>
  <c r="K42" i="351"/>
  <c r="L42" i="351"/>
  <c r="J42" i="351"/>
  <c r="W182" i="351"/>
  <c r="P47" i="351" s="1"/>
  <c r="M47" i="351"/>
  <c r="L47" i="351"/>
  <c r="K47" i="351"/>
  <c r="N47" i="351"/>
  <c r="J47" i="351"/>
  <c r="D44" i="351"/>
  <c r="J48" i="351"/>
  <c r="D39" i="351"/>
  <c r="J43" i="351"/>
  <c r="C43" i="351"/>
  <c r="H44" i="351"/>
  <c r="E43" i="351"/>
  <c r="F43" i="351"/>
  <c r="G43" i="351"/>
  <c r="C38" i="351"/>
  <c r="H38" i="351"/>
  <c r="F38" i="351"/>
  <c r="G38" i="351"/>
  <c r="E38" i="351"/>
  <c r="D38" i="351"/>
  <c r="P38" i="351"/>
  <c r="P45" i="351"/>
  <c r="P41" i="351"/>
  <c r="P48" i="351"/>
  <c r="F40" i="351" l="1"/>
  <c r="D40" i="351"/>
  <c r="C41" i="351"/>
  <c r="E41" i="351"/>
  <c r="F41" i="351"/>
  <c r="D41" i="351"/>
  <c r="H41" i="351"/>
  <c r="G41" i="351"/>
  <c r="E40" i="351"/>
  <c r="C49" i="351"/>
  <c r="G49" i="351"/>
  <c r="H49" i="351"/>
  <c r="E49" i="351"/>
  <c r="F49" i="351"/>
  <c r="D49" i="351"/>
  <c r="H48" i="351"/>
  <c r="G48" i="351"/>
  <c r="G46" i="351"/>
  <c r="H39" i="351"/>
  <c r="G40" i="351"/>
  <c r="H40" i="351"/>
  <c r="H45" i="351"/>
  <c r="C45" i="351"/>
  <c r="D45" i="351"/>
  <c r="F45" i="351"/>
  <c r="E45" i="351"/>
  <c r="G45" i="351"/>
  <c r="H42" i="351"/>
  <c r="C42" i="351"/>
  <c r="E42" i="351"/>
  <c r="D42" i="351"/>
  <c r="F42" i="351"/>
  <c r="G42" i="351"/>
  <c r="H47" i="351"/>
  <c r="D43" i="351"/>
  <c r="H43" i="351"/>
  <c r="B12" i="1" l="1"/>
  <c r="B21" i="1" l="1"/>
  <c r="B14" i="1"/>
  <c r="B16" i="1"/>
  <c r="B23" i="1"/>
  <c r="B26" i="1" l="1"/>
  <c r="B19" i="1"/>
  <c r="B15" i="1"/>
  <c r="B17" i="1"/>
  <c r="B22" i="1"/>
  <c r="B13" i="1"/>
  <c r="B25" i="1"/>
  <c r="B24" i="1"/>
  <c r="B27" i="1"/>
  <c r="B18" i="1"/>
  <c r="B20" i="1" l="1"/>
  <c r="G11" i="1" l="1"/>
  <c r="I11" i="1"/>
  <c r="K11" i="1"/>
  <c r="M11" i="1"/>
  <c r="E23" i="1" l="1"/>
  <c r="I23" i="1"/>
  <c r="G23" i="1" l="1"/>
  <c r="E25" i="1"/>
  <c r="I25" i="1"/>
  <c r="G25" i="1"/>
  <c r="I13" i="1"/>
  <c r="G13" i="1"/>
  <c r="E27" i="1"/>
  <c r="I27" i="1"/>
  <c r="G27" i="1"/>
  <c r="G20" i="1"/>
  <c r="S20" i="1" s="1"/>
  <c r="Q20" i="1" s="1"/>
  <c r="E20" i="1"/>
  <c r="I20" i="1"/>
  <c r="E21" i="1"/>
  <c r="I21" i="1"/>
  <c r="G21" i="1"/>
  <c r="E24" i="1"/>
  <c r="G24" i="1"/>
  <c r="I24" i="1"/>
  <c r="E17" i="1"/>
  <c r="I17" i="1"/>
  <c r="G17" i="1"/>
  <c r="G18" i="1"/>
  <c r="E18" i="1"/>
  <c r="I18" i="1"/>
  <c r="I19" i="1"/>
  <c r="G19" i="1"/>
  <c r="E19" i="1"/>
  <c r="E16" i="1"/>
  <c r="G16" i="1"/>
  <c r="I16" i="1"/>
  <c r="G22" i="1"/>
  <c r="E22" i="1"/>
  <c r="I22" i="1"/>
  <c r="E15" i="1"/>
  <c r="G15" i="1"/>
  <c r="I15" i="1"/>
  <c r="G14" i="1"/>
  <c r="S14" i="1" s="1"/>
  <c r="E14" i="1"/>
  <c r="I14" i="1"/>
  <c r="G26" i="1"/>
  <c r="E26" i="1"/>
  <c r="I26" i="1"/>
  <c r="M16" i="1"/>
  <c r="K16" i="1"/>
  <c r="K25" i="1"/>
  <c r="K21" i="1"/>
  <c r="K17" i="1"/>
  <c r="K24" i="1"/>
  <c r="K20" i="1"/>
  <c r="K27" i="1"/>
  <c r="K26" i="1"/>
  <c r="K19" i="1"/>
  <c r="M14" i="1"/>
  <c r="K14" i="1"/>
  <c r="K22" i="1"/>
  <c r="K18" i="1"/>
  <c r="M23" i="1"/>
  <c r="K23" i="1"/>
  <c r="K13" i="1"/>
  <c r="K15" i="1"/>
  <c r="G12" i="1"/>
  <c r="E12" i="1"/>
  <c r="I12" i="1"/>
  <c r="P18" i="1" l="1"/>
  <c r="P19" i="1"/>
  <c r="P25" i="1"/>
  <c r="P16" i="1"/>
  <c r="K12" i="1"/>
  <c r="Y22" i="1"/>
  <c r="Y25" i="1"/>
  <c r="S15" i="1"/>
  <c r="U15" i="1" s="1"/>
  <c r="P14" i="1"/>
  <c r="V14" i="1" s="1"/>
  <c r="S25" i="1"/>
  <c r="Q25" i="1" s="1"/>
  <c r="P20" i="1"/>
  <c r="V20" i="1" s="1"/>
  <c r="Y26" i="1"/>
  <c r="P17" i="1"/>
  <c r="Y19" i="1"/>
  <c r="S13" i="1"/>
  <c r="U13" i="1" s="1"/>
  <c r="S19" i="1"/>
  <c r="U19" i="1" s="1"/>
  <c r="S26" i="1"/>
  <c r="Q26" i="1" s="1"/>
  <c r="P12" i="1"/>
  <c r="Y12" i="1"/>
  <c r="S12" i="1"/>
  <c r="Q12" i="1" s="1"/>
  <c r="Q14" i="1"/>
  <c r="U14" i="1"/>
  <c r="S24" i="1"/>
  <c r="Q24" i="1" s="1"/>
  <c r="P27" i="1"/>
  <c r="S27" i="1"/>
  <c r="Y27" i="1"/>
  <c r="Y24" i="1"/>
  <c r="Y20" i="1"/>
  <c r="P22" i="1"/>
  <c r="S18" i="1"/>
  <c r="Q18" i="1" s="1"/>
  <c r="S16" i="1"/>
  <c r="Q16" i="1" s="1"/>
  <c r="Y17" i="1"/>
  <c r="X17" i="1" s="1"/>
  <c r="S17" i="1"/>
  <c r="U17" i="1" s="1"/>
  <c r="P24" i="1"/>
  <c r="Y16" i="1"/>
  <c r="X16" i="1" s="1"/>
  <c r="U20" i="1"/>
  <c r="S22" i="1"/>
  <c r="P26" i="1"/>
  <c r="Y18" i="1"/>
  <c r="P21" i="1"/>
  <c r="Y21" i="1"/>
  <c r="X21" i="1" s="1"/>
  <c r="S21" i="1"/>
  <c r="S23" i="1"/>
  <c r="U23" i="1" s="1"/>
  <c r="P23" i="1"/>
  <c r="Y23" i="1"/>
  <c r="P15" i="1"/>
  <c r="Y15" i="1"/>
  <c r="Y14" i="1"/>
  <c r="M21" i="1"/>
  <c r="M20" i="1"/>
  <c r="M15" i="1"/>
  <c r="E13" i="1"/>
  <c r="Q19" i="1" l="1"/>
  <c r="W19" i="1"/>
  <c r="U25" i="1"/>
  <c r="W25" i="1" s="1"/>
  <c r="W14" i="1"/>
  <c r="V24" i="1"/>
  <c r="W15" i="1"/>
  <c r="U26" i="1"/>
  <c r="W26" i="1" s="1"/>
  <c r="V26" i="1"/>
  <c r="AA26" i="1" s="1"/>
  <c r="X25" i="1"/>
  <c r="Q17" i="1"/>
  <c r="W17" i="1"/>
  <c r="Z17" i="1" s="1"/>
  <c r="Q15" i="1"/>
  <c r="X20" i="1"/>
  <c r="V27" i="1"/>
  <c r="X22" i="1"/>
  <c r="AA14" i="1"/>
  <c r="X18" i="1"/>
  <c r="V17" i="1"/>
  <c r="V15" i="1"/>
  <c r="U16" i="1"/>
  <c r="W16" i="1" s="1"/>
  <c r="X27" i="1"/>
  <c r="W20" i="1"/>
  <c r="X26" i="1"/>
  <c r="Q13" i="1"/>
  <c r="V16" i="1"/>
  <c r="V25" i="1"/>
  <c r="Q27" i="1"/>
  <c r="U27" i="1"/>
  <c r="W27" i="1" s="1"/>
  <c r="V19" i="1"/>
  <c r="AA20" i="1"/>
  <c r="X19" i="1"/>
  <c r="U21" i="1"/>
  <c r="W21" i="1" s="1"/>
  <c r="Q21" i="1"/>
  <c r="Q23" i="1"/>
  <c r="U18" i="1"/>
  <c r="W18" i="1" s="1"/>
  <c r="V18" i="1"/>
  <c r="X24" i="1"/>
  <c r="X12" i="1"/>
  <c r="U12" i="1"/>
  <c r="W12" i="1" s="1"/>
  <c r="X23" i="1"/>
  <c r="Q22" i="1"/>
  <c r="U22" i="1"/>
  <c r="W22" i="1" s="1"/>
  <c r="V22" i="1"/>
  <c r="V12" i="1"/>
  <c r="U24" i="1"/>
  <c r="W24" i="1" s="1"/>
  <c r="W23" i="1"/>
  <c r="V23" i="1"/>
  <c r="V21" i="1"/>
  <c r="P13" i="1"/>
  <c r="Y13" i="1"/>
  <c r="X15" i="1"/>
  <c r="X14" i="1"/>
  <c r="M13" i="1"/>
  <c r="M27" i="1"/>
  <c r="M25" i="1"/>
  <c r="M24" i="1"/>
  <c r="M19" i="1"/>
  <c r="M18" i="1"/>
  <c r="M22" i="1"/>
  <c r="M12" i="1"/>
  <c r="Z19" i="1" l="1"/>
  <c r="Z25" i="1"/>
  <c r="AA24" i="1"/>
  <c r="Z15" i="1"/>
  <c r="Z14" i="1"/>
  <c r="AA15" i="1"/>
  <c r="AA27" i="1"/>
  <c r="AA19" i="1"/>
  <c r="Z18" i="1"/>
  <c r="Z20" i="1"/>
  <c r="AA17" i="1"/>
  <c r="AA16" i="1"/>
  <c r="Z16" i="1"/>
  <c r="AA25" i="1"/>
  <c r="Z12" i="1"/>
  <c r="AA21" i="1"/>
  <c r="Z26" i="1"/>
  <c r="Z23" i="1"/>
  <c r="Z27" i="1"/>
  <c r="Z21" i="1"/>
  <c r="AA12" i="1"/>
  <c r="Z24" i="1"/>
  <c r="AA22" i="1"/>
  <c r="AA18" i="1"/>
  <c r="AA23" i="1"/>
  <c r="Z22" i="1"/>
  <c r="V13" i="1"/>
  <c r="W13" i="1"/>
  <c r="X13" i="1"/>
  <c r="M26" i="1"/>
  <c r="M17" i="1"/>
  <c r="Z13" i="1" l="1"/>
  <c r="AA13" i="1"/>
  <c r="L5" i="370" l="1"/>
  <c r="G4" i="359" s="1"/>
  <c r="L6" i="370"/>
  <c r="G5" i="359" s="1"/>
  <c r="L7" i="370"/>
  <c r="G6" i="359" s="1"/>
  <c r="N8" i="370"/>
  <c r="F7" i="359" s="1"/>
  <c r="N6" i="370"/>
  <c r="F5" i="359" s="1"/>
  <c r="N5" i="370"/>
  <c r="F4" i="359" s="1"/>
  <c r="G8" i="350" l="1"/>
  <c r="F75" i="351"/>
  <c r="G74" i="351"/>
  <c r="F7" i="350"/>
  <c r="G5" i="350"/>
  <c r="F72" i="351"/>
  <c r="J17" i="359"/>
  <c r="D17" i="359"/>
  <c r="G17" i="359"/>
  <c r="F6" i="350"/>
  <c r="G73" i="351"/>
  <c r="F73" i="351"/>
  <c r="G6" i="350"/>
  <c r="G72" i="351"/>
  <c r="F17" i="359"/>
  <c r="F5" i="350"/>
  <c r="C17" i="359"/>
  <c r="I17" i="359"/>
  <c r="L10" i="370"/>
  <c r="K16" i="350" l="1"/>
  <c r="I16" i="350"/>
  <c r="J16" i="350" s="1"/>
  <c r="O149" i="351" s="1"/>
  <c r="R149" i="351" s="1"/>
  <c r="I14" i="350"/>
  <c r="J14" i="350" s="1"/>
  <c r="K13" i="359" s="1"/>
  <c r="J13" i="359" s="1"/>
  <c r="I13" i="350"/>
  <c r="J13" i="350" s="1"/>
  <c r="H13" i="359" s="1"/>
  <c r="G13" i="359" s="1"/>
  <c r="I12" i="350"/>
  <c r="F98" i="351"/>
  <c r="F101" i="351" s="1"/>
  <c r="N153" i="351"/>
  <c r="N152" i="351"/>
  <c r="N161" i="351"/>
  <c r="N157" i="351"/>
  <c r="N159" i="351"/>
  <c r="N148" i="351"/>
  <c r="J36" i="351" s="1"/>
  <c r="N151" i="351"/>
  <c r="N155" i="351"/>
  <c r="N156" i="351"/>
  <c r="N150" i="351"/>
  <c r="N154" i="351"/>
  <c r="N158" i="351"/>
  <c r="N160" i="351"/>
  <c r="R150" i="351"/>
  <c r="R156" i="351"/>
  <c r="R158" i="351"/>
  <c r="R148" i="351"/>
  <c r="K36" i="351" s="1"/>
  <c r="R154" i="351"/>
  <c r="R155" i="351"/>
  <c r="R159" i="351"/>
  <c r="R153" i="351"/>
  <c r="R161" i="351"/>
  <c r="R152" i="351"/>
  <c r="R151" i="351"/>
  <c r="R157" i="351"/>
  <c r="R160" i="351"/>
  <c r="R110" i="351"/>
  <c r="S110" i="351" s="1"/>
  <c r="R102" i="351"/>
  <c r="R108" i="351"/>
  <c r="S108" i="351" s="1"/>
  <c r="R111" i="351"/>
  <c r="S111" i="351" s="1"/>
  <c r="R104" i="351"/>
  <c r="S104" i="351" s="1"/>
  <c r="R106" i="351"/>
  <c r="S106" i="351" s="1"/>
  <c r="R112" i="351"/>
  <c r="S112" i="351" s="1"/>
  <c r="R105" i="351"/>
  <c r="S105" i="351" s="1"/>
  <c r="R109" i="351"/>
  <c r="S109" i="351" s="1"/>
  <c r="R107" i="351"/>
  <c r="S107" i="351" s="1"/>
  <c r="R115" i="351"/>
  <c r="S115" i="351" s="1"/>
  <c r="R113" i="351"/>
  <c r="S113" i="351" s="1"/>
  <c r="R114" i="351"/>
  <c r="S114" i="351" s="1"/>
  <c r="K13" i="350"/>
  <c r="K14" i="350"/>
  <c r="E13" i="359" l="1"/>
  <c r="D13" i="359" s="1"/>
  <c r="D15" i="359" s="1"/>
  <c r="J12" i="350"/>
  <c r="E36" i="1"/>
  <c r="G36" i="1"/>
  <c r="S102" i="351"/>
  <c r="G36" i="351" s="1"/>
  <c r="D36" i="351"/>
  <c r="M16" i="350"/>
  <c r="E24" i="359"/>
  <c r="D24" i="359" s="1"/>
  <c r="D26" i="359" s="1"/>
  <c r="W107" i="351"/>
  <c r="X107" i="351" s="1"/>
  <c r="V130" i="351" s="1"/>
  <c r="W130" i="351" s="1"/>
  <c r="I41" i="351" s="1"/>
  <c r="U107" i="351"/>
  <c r="U112" i="351"/>
  <c r="W112" i="351"/>
  <c r="X112" i="351" s="1"/>
  <c r="V135" i="351" s="1"/>
  <c r="W135" i="351" s="1"/>
  <c r="I46" i="351" s="1"/>
  <c r="W108" i="351"/>
  <c r="X108" i="351" s="1"/>
  <c r="V131" i="351" s="1"/>
  <c r="W131" i="351" s="1"/>
  <c r="I42" i="351" s="1"/>
  <c r="U108" i="351"/>
  <c r="S152" i="351"/>
  <c r="W152" i="351" s="1"/>
  <c r="X152" i="351" s="1"/>
  <c r="V175" i="351" s="1"/>
  <c r="Q152" i="351"/>
  <c r="P152" i="351"/>
  <c r="S155" i="351"/>
  <c r="W155" i="351" s="1"/>
  <c r="X155" i="351" s="1"/>
  <c r="V178" i="351" s="1"/>
  <c r="P155" i="351"/>
  <c r="Q155" i="351"/>
  <c r="S149" i="351"/>
  <c r="P149" i="351"/>
  <c r="Q149" i="351"/>
  <c r="U114" i="351"/>
  <c r="W114" i="351"/>
  <c r="X114" i="351" s="1"/>
  <c r="V137" i="351" s="1"/>
  <c r="W137" i="351" s="1"/>
  <c r="I48" i="351" s="1"/>
  <c r="W109" i="351"/>
  <c r="X109" i="351" s="1"/>
  <c r="V132" i="351" s="1"/>
  <c r="W132" i="351" s="1"/>
  <c r="I43" i="351" s="1"/>
  <c r="U109" i="351"/>
  <c r="W106" i="351"/>
  <c r="X106" i="351" s="1"/>
  <c r="V129" i="351" s="1"/>
  <c r="W129" i="351" s="1"/>
  <c r="I40" i="351" s="1"/>
  <c r="U106" i="351"/>
  <c r="S160" i="351"/>
  <c r="W160" i="351" s="1"/>
  <c r="X160" i="351" s="1"/>
  <c r="V183" i="351" s="1"/>
  <c r="Q160" i="351"/>
  <c r="P160" i="351"/>
  <c r="S161" i="351"/>
  <c r="W161" i="351" s="1"/>
  <c r="X161" i="351" s="1"/>
  <c r="V184" i="351" s="1"/>
  <c r="P161" i="351"/>
  <c r="Q161" i="351"/>
  <c r="S154" i="351"/>
  <c r="W154" i="351" s="1"/>
  <c r="X154" i="351" s="1"/>
  <c r="V177" i="351" s="1"/>
  <c r="Q154" i="351"/>
  <c r="P154" i="351"/>
  <c r="S156" i="351"/>
  <c r="W156" i="351" s="1"/>
  <c r="X156" i="351" s="1"/>
  <c r="V179" i="351" s="1"/>
  <c r="P156" i="351"/>
  <c r="Q156" i="351"/>
  <c r="O145" i="351"/>
  <c r="R145" i="351" s="1"/>
  <c r="M12" i="350"/>
  <c r="U113" i="351"/>
  <c r="W113" i="351"/>
  <c r="X113" i="351" s="1"/>
  <c r="V136" i="351" s="1"/>
  <c r="W136" i="351" s="1"/>
  <c r="I47" i="351" s="1"/>
  <c r="W104" i="351"/>
  <c r="X104" i="351" s="1"/>
  <c r="V127" i="351" s="1"/>
  <c r="W127" i="351" s="1"/>
  <c r="I38" i="351" s="1"/>
  <c r="U104" i="351"/>
  <c r="W110" i="351"/>
  <c r="X110" i="351" s="1"/>
  <c r="V133" i="351" s="1"/>
  <c r="W133" i="351" s="1"/>
  <c r="I44" i="351" s="1"/>
  <c r="U110" i="351"/>
  <c r="S157" i="351"/>
  <c r="W157" i="351" s="1"/>
  <c r="X157" i="351" s="1"/>
  <c r="V180" i="351" s="1"/>
  <c r="P157" i="351"/>
  <c r="Q157" i="351"/>
  <c r="S153" i="351"/>
  <c r="W153" i="351" s="1"/>
  <c r="X153" i="351" s="1"/>
  <c r="V176" i="351" s="1"/>
  <c r="P153" i="351"/>
  <c r="Q153" i="351"/>
  <c r="S148" i="351"/>
  <c r="P148" i="351"/>
  <c r="L36" i="351" s="1"/>
  <c r="Q148" i="351"/>
  <c r="M36" i="351" s="1"/>
  <c r="S150" i="351"/>
  <c r="W150" i="351" s="1"/>
  <c r="X150" i="351" s="1"/>
  <c r="V173" i="351" s="1"/>
  <c r="P150" i="351"/>
  <c r="Q150" i="351"/>
  <c r="O146" i="351"/>
  <c r="R146" i="351" s="1"/>
  <c r="M13" i="350"/>
  <c r="G15" i="359"/>
  <c r="U115" i="351"/>
  <c r="W115" i="351"/>
  <c r="X115" i="351" s="1"/>
  <c r="V138" i="351" s="1"/>
  <c r="W138" i="351" s="1"/>
  <c r="I49" i="351" s="1"/>
  <c r="W105" i="351"/>
  <c r="X105" i="351" s="1"/>
  <c r="V128" i="351" s="1"/>
  <c r="W128" i="351" s="1"/>
  <c r="I39" i="351" s="1"/>
  <c r="U105" i="351"/>
  <c r="U111" i="351"/>
  <c r="W111" i="351"/>
  <c r="X111" i="351" s="1"/>
  <c r="V134" i="351" s="1"/>
  <c r="W134" i="351" s="1"/>
  <c r="I45" i="351" s="1"/>
  <c r="S151" i="351"/>
  <c r="W151" i="351" s="1"/>
  <c r="X151" i="351" s="1"/>
  <c r="V174" i="351" s="1"/>
  <c r="Q151" i="351"/>
  <c r="P151" i="351"/>
  <c r="S159" i="351"/>
  <c r="W159" i="351" s="1"/>
  <c r="X159" i="351" s="1"/>
  <c r="V182" i="351" s="1"/>
  <c r="Q159" i="351"/>
  <c r="P159" i="351"/>
  <c r="S158" i="351"/>
  <c r="W158" i="351" s="1"/>
  <c r="X158" i="351" s="1"/>
  <c r="V181" i="351" s="1"/>
  <c r="P158" i="351"/>
  <c r="Q158" i="351"/>
  <c r="O147" i="351"/>
  <c r="R147" i="351" s="1"/>
  <c r="M14" i="350"/>
  <c r="J15" i="359"/>
  <c r="K149" i="351" l="1"/>
  <c r="K103" i="351"/>
  <c r="W149" i="351"/>
  <c r="X149" i="351" s="1"/>
  <c r="V172" i="351" s="1"/>
  <c r="W102" i="351"/>
  <c r="X102" i="351" s="1"/>
  <c r="V125" i="351" s="1"/>
  <c r="W125" i="351" s="1"/>
  <c r="I36" i="351" s="1"/>
  <c r="U102" i="351"/>
  <c r="H36" i="351" s="1"/>
  <c r="W148" i="351"/>
  <c r="X148" i="351" s="1"/>
  <c r="V171" i="351" s="1"/>
  <c r="W171" i="351" s="1"/>
  <c r="P36" i="351" s="1"/>
  <c r="N36" i="351"/>
  <c r="U152" i="351"/>
  <c r="O40" i="351" s="1"/>
  <c r="U160" i="351"/>
  <c r="O48" i="351" s="1"/>
  <c r="U157" i="351"/>
  <c r="O45" i="351" s="1"/>
  <c r="U156" i="351"/>
  <c r="O44" i="351" s="1"/>
  <c r="U159" i="351"/>
  <c r="U148" i="351"/>
  <c r="O36" i="351" s="1"/>
  <c r="U161" i="351"/>
  <c r="S147" i="351"/>
  <c r="W147" i="351" s="1"/>
  <c r="X147" i="351" s="1"/>
  <c r="V170" i="351" s="1"/>
  <c r="Q147" i="351"/>
  <c r="P147" i="351"/>
  <c r="U158" i="351"/>
  <c r="O46" i="351" s="1"/>
  <c r="U151" i="351"/>
  <c r="O39" i="351" s="1"/>
  <c r="U154" i="351"/>
  <c r="K145" i="351"/>
  <c r="K99" i="351"/>
  <c r="K147" i="351"/>
  <c r="K101" i="351"/>
  <c r="P145" i="351"/>
  <c r="Q145" i="351"/>
  <c r="S145" i="351"/>
  <c r="W145" i="351" s="1"/>
  <c r="X145" i="351" s="1"/>
  <c r="V168" i="351" s="1"/>
  <c r="U155" i="351"/>
  <c r="O43" i="351" s="1"/>
  <c r="U153" i="351"/>
  <c r="O41" i="351" s="1"/>
  <c r="K146" i="351"/>
  <c r="K100" i="351"/>
  <c r="S146" i="351"/>
  <c r="W146" i="351" s="1"/>
  <c r="X146" i="351" s="1"/>
  <c r="V169" i="351" s="1"/>
  <c r="Q146" i="351"/>
  <c r="P146" i="351"/>
  <c r="U150" i="351"/>
  <c r="H103" i="351" l="1"/>
  <c r="L103" i="351"/>
  <c r="M103" i="351" s="1"/>
  <c r="H149" i="351"/>
  <c r="M149" i="351"/>
  <c r="I36" i="1"/>
  <c r="M36" i="1"/>
  <c r="K36" i="1"/>
  <c r="H99" i="351"/>
  <c r="L99" i="351"/>
  <c r="M99" i="351" s="1"/>
  <c r="L101" i="351"/>
  <c r="M101" i="351" s="1"/>
  <c r="H101" i="351"/>
  <c r="H100" i="351"/>
  <c r="L100" i="351"/>
  <c r="M100" i="351" s="1"/>
  <c r="M147" i="351"/>
  <c r="H147" i="351"/>
  <c r="M146" i="351"/>
  <c r="H146" i="351"/>
  <c r="M145" i="351"/>
  <c r="N145" i="351" s="1"/>
  <c r="H145" i="351"/>
  <c r="N103" i="351" l="1"/>
  <c r="O103" i="351"/>
  <c r="X172" i="351"/>
  <c r="U172" i="351" s="1"/>
  <c r="N149" i="351"/>
  <c r="O100" i="351"/>
  <c r="N100" i="351"/>
  <c r="U123" i="351" s="1"/>
  <c r="O99" i="351"/>
  <c r="N99" i="351"/>
  <c r="X168" i="351"/>
  <c r="U168" i="351" s="1"/>
  <c r="U145" i="351"/>
  <c r="X170" i="351"/>
  <c r="U170" i="351" s="1"/>
  <c r="N147" i="351"/>
  <c r="U147" i="351" s="1"/>
  <c r="O101" i="351"/>
  <c r="N101" i="351"/>
  <c r="U124" i="351" s="1"/>
  <c r="X169" i="351"/>
  <c r="U169" i="351" s="1"/>
  <c r="N146" i="351"/>
  <c r="U146" i="351" s="1"/>
  <c r="J37" i="351" l="1"/>
  <c r="U149" i="351"/>
  <c r="O37" i="351" s="1"/>
  <c r="K37" i="351"/>
  <c r="L37" i="351"/>
  <c r="M37" i="351"/>
  <c r="N37" i="351"/>
  <c r="W172" i="351"/>
  <c r="P37" i="351" s="1"/>
  <c r="Q103" i="351"/>
  <c r="P103" i="351"/>
  <c r="R103" i="351"/>
  <c r="S103" i="351" s="1"/>
  <c r="U126" i="351"/>
  <c r="O35" i="351"/>
  <c r="U122" i="351"/>
  <c r="W169" i="351"/>
  <c r="P34" i="351" s="1"/>
  <c r="M34" i="1" s="1"/>
  <c r="K34" i="351"/>
  <c r="G34" i="1" s="1"/>
  <c r="L34" i="351"/>
  <c r="N34" i="351"/>
  <c r="I34" i="1" s="1"/>
  <c r="J34" i="351"/>
  <c r="E34" i="1" s="1"/>
  <c r="M34" i="351"/>
  <c r="O34" i="351"/>
  <c r="K34" i="1" s="1"/>
  <c r="W170" i="351"/>
  <c r="P35" i="351" s="1"/>
  <c r="K35" i="351"/>
  <c r="N35" i="351"/>
  <c r="M35" i="351"/>
  <c r="L35" i="351"/>
  <c r="J35" i="351"/>
  <c r="R99" i="351"/>
  <c r="S99" i="351" s="1"/>
  <c r="Q99" i="351"/>
  <c r="P99" i="351"/>
  <c r="C35" i="351"/>
  <c r="C34" i="351"/>
  <c r="P101" i="351"/>
  <c r="E35" i="351" s="1"/>
  <c r="Q101" i="351"/>
  <c r="F35" i="351" s="1"/>
  <c r="R101" i="351"/>
  <c r="S101" i="351" s="1"/>
  <c r="G35" i="351" s="1"/>
  <c r="W168" i="351"/>
  <c r="P33" i="351" s="1"/>
  <c r="M33" i="1" s="1"/>
  <c r="J33" i="351"/>
  <c r="E33" i="1" s="1"/>
  <c r="L33" i="351"/>
  <c r="M33" i="351"/>
  <c r="O33" i="351"/>
  <c r="K33" i="1" s="1"/>
  <c r="N33" i="351"/>
  <c r="I33" i="1" s="1"/>
  <c r="K33" i="351"/>
  <c r="G33" i="1" s="1"/>
  <c r="P100" i="351"/>
  <c r="E34" i="351" s="1"/>
  <c r="Q100" i="351"/>
  <c r="F34" i="351" s="1"/>
  <c r="R100" i="351"/>
  <c r="S100" i="351" s="1"/>
  <c r="G34" i="351" s="1"/>
  <c r="G37" i="351" l="1"/>
  <c r="W103" i="351"/>
  <c r="X103" i="351" s="1"/>
  <c r="V126" i="351" s="1"/>
  <c r="W126" i="351" s="1"/>
  <c r="I37" i="351" s="1"/>
  <c r="U103" i="351"/>
  <c r="H37" i="351" s="1"/>
  <c r="F37" i="351"/>
  <c r="C37" i="351"/>
  <c r="D37" i="351"/>
  <c r="E37" i="351"/>
  <c r="E33" i="351"/>
  <c r="I35" i="1"/>
  <c r="G35" i="1"/>
  <c r="M35" i="1"/>
  <c r="E35" i="1"/>
  <c r="K35" i="1"/>
  <c r="F33" i="351"/>
  <c r="D34" i="351"/>
  <c r="G33" i="351"/>
  <c r="U99" i="351"/>
  <c r="H33" i="351" s="1"/>
  <c r="W99" i="351"/>
  <c r="X99" i="351" s="1"/>
  <c r="V122" i="351" s="1"/>
  <c r="W122" i="351" s="1"/>
  <c r="I33" i="351" s="1"/>
  <c r="U101" i="351"/>
  <c r="H35" i="351" s="1"/>
  <c r="W101" i="351"/>
  <c r="X101" i="351" s="1"/>
  <c r="V124" i="351" s="1"/>
  <c r="W124" i="351" s="1"/>
  <c r="I35" i="351" s="1"/>
  <c r="U100" i="351"/>
  <c r="H34" i="351" s="1"/>
  <c r="W100" i="351"/>
  <c r="X100" i="351" s="1"/>
  <c r="V123" i="351" s="1"/>
  <c r="W123" i="351" s="1"/>
  <c r="I34" i="351" s="1"/>
  <c r="D35" i="351"/>
  <c r="C33" i="351"/>
  <c r="D33" i="351"/>
  <c r="H11" i="350"/>
  <c r="I11" i="350" s="1"/>
  <c r="J11" i="350" s="1"/>
  <c r="E13" i="358" s="1"/>
  <c r="K11" i="350" l="1"/>
  <c r="K54" i="351" s="1"/>
  <c r="M11" i="350"/>
  <c r="D13" i="358"/>
  <c r="D15" i="358" s="1"/>
  <c r="K77" i="351"/>
  <c r="O144" i="351" s="1"/>
  <c r="R144" i="351" s="1"/>
  <c r="L77" i="351" l="1"/>
  <c r="K144" i="351"/>
  <c r="Q144" i="351"/>
  <c r="P144" i="351"/>
  <c r="S144" i="351"/>
  <c r="W144" i="351" s="1"/>
  <c r="X144" i="351" s="1"/>
  <c r="V167" i="351" s="1"/>
  <c r="K98" i="351" l="1"/>
  <c r="L98" i="351" s="1"/>
  <c r="M98" i="351" s="1"/>
  <c r="H144" i="351"/>
  <c r="M144" i="351"/>
  <c r="N144" i="351" s="1"/>
  <c r="H98" i="351" l="1"/>
  <c r="N98" i="351"/>
  <c r="O98" i="351"/>
  <c r="X167" i="351"/>
  <c r="U167" i="351" s="1"/>
  <c r="U144" i="351"/>
  <c r="O32" i="351" l="1"/>
  <c r="K32" i="1" s="1"/>
  <c r="W167" i="351"/>
  <c r="P32" i="351" s="1"/>
  <c r="M32" i="1" s="1"/>
  <c r="L32" i="351"/>
  <c r="N32" i="351"/>
  <c r="I32" i="1" s="1"/>
  <c r="M32" i="351"/>
  <c r="K32" i="351"/>
  <c r="G32" i="1" s="1"/>
  <c r="J32" i="351"/>
  <c r="E32" i="1" s="1"/>
  <c r="P98" i="351"/>
  <c r="Q98" i="351"/>
  <c r="R98" i="351"/>
  <c r="S98" i="351" s="1"/>
  <c r="U121" i="351"/>
  <c r="U98" i="351" l="1"/>
  <c r="H32" i="351" s="1"/>
  <c r="W98" i="351"/>
  <c r="X98" i="351" s="1"/>
  <c r="V121" i="351" s="1"/>
  <c r="W121" i="351" s="1"/>
  <c r="I32" i="351" s="1"/>
  <c r="E32" i="351"/>
  <c r="C32" i="351"/>
  <c r="D32" i="351"/>
  <c r="G32" i="351"/>
  <c r="F32" i="351"/>
  <c r="AC82" i="373"/>
</calcChain>
</file>

<file path=xl/comments1.xml><?xml version="1.0" encoding="utf-8"?>
<comments xmlns="http://schemas.openxmlformats.org/spreadsheetml/2006/main">
  <authors>
    <author>大森 威</author>
  </authors>
  <commentList>
    <comment ref="Y9" authorId="0">
      <text>
        <r>
          <rPr>
            <sz val="9"/>
            <color indexed="10"/>
            <rFont val="Meiryo UI"/>
            <family val="3"/>
            <charset val="128"/>
          </rPr>
          <t>IF=230mA/dieから200mA/dieへ下方修正
ペースト径MAX:φ310mmをカバーさせる為</t>
        </r>
      </text>
    </comment>
  </commentList>
</comments>
</file>

<file path=xl/comments2.xml><?xml version="1.0" encoding="utf-8"?>
<comments xmlns="http://schemas.openxmlformats.org/spreadsheetml/2006/main">
  <authors>
    <author>大森 威</author>
  </authors>
  <commentList>
    <comment ref="R9" authorId="0">
      <text>
        <r>
          <rPr>
            <sz val="9"/>
            <color indexed="10"/>
            <rFont val="Meiryo UI"/>
            <family val="3"/>
            <charset val="128"/>
          </rPr>
          <t>IF=230mA/dieから210mA/dieへ下方修正
ペースト径MAX:φ310mmをカバーさせる為</t>
        </r>
      </text>
    </comment>
    <comment ref="Y9" authorId="0">
      <text>
        <r>
          <rPr>
            <sz val="9"/>
            <color indexed="10"/>
            <rFont val="Meiryo UI"/>
            <family val="3"/>
            <charset val="128"/>
          </rPr>
          <t>IF=230mA/dieから220mA/dieへ下方修正
ペースト径MAX:φ310mmをカバーさせる為</t>
        </r>
      </text>
    </comment>
  </commentList>
</comments>
</file>

<file path=xl/sharedStrings.xml><?xml version="1.0" encoding="utf-8"?>
<sst xmlns="http://schemas.openxmlformats.org/spreadsheetml/2006/main" count="3570" uniqueCount="687">
  <si>
    <t>lm/W</t>
  </si>
  <si>
    <t>Series</t>
  </si>
  <si>
    <t>Parallel</t>
  </si>
  <si>
    <t>Judgement</t>
  </si>
  <si>
    <t>IF Limit</t>
  </si>
  <si>
    <t>Tj Limit</t>
  </si>
  <si>
    <t>Tj</t>
  </si>
  <si>
    <t>CCT,Ra</t>
    <phoneticPr fontId="7"/>
  </si>
  <si>
    <t>Tc (C)</t>
    <phoneticPr fontId="7"/>
  </si>
  <si>
    <t>Code</t>
    <phoneticPr fontId="7"/>
  </si>
  <si>
    <t>Series</t>
    <phoneticPr fontId="7"/>
  </si>
  <si>
    <t>CCT&amp;Ra</t>
    <phoneticPr fontId="7"/>
  </si>
  <si>
    <t>Luminous flux</t>
    <phoneticPr fontId="7"/>
  </si>
  <si>
    <t>If (mA)</t>
    <phoneticPr fontId="7"/>
  </si>
  <si>
    <t>Pd (W)</t>
    <phoneticPr fontId="7"/>
  </si>
  <si>
    <t>lm/W</t>
    <phoneticPr fontId="7"/>
  </si>
  <si>
    <t>lm</t>
    <phoneticPr fontId="7"/>
  </si>
  <si>
    <t>Forward current</t>
    <phoneticPr fontId="7"/>
  </si>
  <si>
    <t>φv (lm)</t>
    <phoneticPr fontId="7"/>
  </si>
  <si>
    <t>mA</t>
    <phoneticPr fontId="7"/>
  </si>
  <si>
    <t>Vf</t>
    <phoneticPr fontId="7"/>
  </si>
  <si>
    <t>W</t>
    <phoneticPr fontId="7"/>
  </si>
  <si>
    <t>[Luminous flux]</t>
    <phoneticPr fontId="7"/>
  </si>
  <si>
    <t>[Forward current]</t>
    <phoneticPr fontId="7"/>
  </si>
  <si>
    <t>IF Limit</t>
    <phoneticPr fontId="7"/>
  </si>
  <si>
    <t>L/L</t>
    <phoneticPr fontId="7"/>
  </si>
  <si>
    <t>U/L</t>
    <phoneticPr fontId="7"/>
  </si>
  <si>
    <t>Tj Limit</t>
    <phoneticPr fontId="7"/>
  </si>
  <si>
    <t>a</t>
    <phoneticPr fontId="7"/>
  </si>
  <si>
    <t>b</t>
    <phoneticPr fontId="7"/>
  </si>
  <si>
    <t>c</t>
    <phoneticPr fontId="7"/>
  </si>
  <si>
    <t>VF</t>
    <phoneticPr fontId="7"/>
  </si>
  <si>
    <t>Tc</t>
    <phoneticPr fontId="7"/>
  </si>
  <si>
    <t>lm Tc-compensation</t>
    <phoneticPr fontId="7"/>
  </si>
  <si>
    <t>lm/die</t>
    <phoneticPr fontId="7"/>
  </si>
  <si>
    <t>lm%</t>
    <phoneticPr fontId="7"/>
  </si>
  <si>
    <t>IF/die</t>
    <phoneticPr fontId="7"/>
  </si>
  <si>
    <t>IF/PKG</t>
    <phoneticPr fontId="7"/>
  </si>
  <si>
    <t>VF Tc-compensation</t>
    <phoneticPr fontId="7"/>
  </si>
  <si>
    <t>Rj-c</t>
    <phoneticPr fontId="7"/>
  </si>
  <si>
    <t>Tj</t>
    <phoneticPr fontId="7"/>
  </si>
  <si>
    <t>Judgement</t>
    <phoneticPr fontId="7"/>
  </si>
  <si>
    <t>Shown</t>
    <phoneticPr fontId="7"/>
  </si>
  <si>
    <t>Tc</t>
    <phoneticPr fontId="7"/>
  </si>
  <si>
    <t>d</t>
    <phoneticPr fontId="7"/>
  </si>
  <si>
    <t>d</t>
    <phoneticPr fontId="7"/>
  </si>
  <si>
    <t>Tc Limit</t>
    <phoneticPr fontId="7"/>
  </si>
  <si>
    <t>IF Limit</t>
    <phoneticPr fontId="7"/>
  </si>
  <si>
    <t>Vf_min (V)</t>
  </si>
  <si>
    <t>Vf_max (V)</t>
  </si>
  <si>
    <t>Vfmin</t>
  </si>
  <si>
    <t>Vfmin</t>
    <phoneticPr fontId="7"/>
  </si>
  <si>
    <t>Vfmax</t>
  </si>
  <si>
    <t>Vfmax</t>
    <phoneticPr fontId="7"/>
  </si>
  <si>
    <t>Vftyp</t>
    <phoneticPr fontId="7"/>
  </si>
  <si>
    <t>Vf</t>
  </si>
  <si>
    <t>If</t>
  </si>
  <si>
    <t>Vf (V)</t>
    <phoneticPr fontId="7"/>
  </si>
  <si>
    <t>NA</t>
    <phoneticPr fontId="7"/>
  </si>
  <si>
    <t>lumen</t>
    <phoneticPr fontId="7"/>
  </si>
  <si>
    <t>Tc-VF係数</t>
    <rPh sb="5" eb="7">
      <t>ケイスウ</t>
    </rPh>
    <phoneticPr fontId="7"/>
  </si>
  <si>
    <t>Tc-LM係数</t>
    <rPh sb="5" eb="7">
      <t>ケイスウ</t>
    </rPh>
    <phoneticPr fontId="7"/>
  </si>
  <si>
    <t>S</t>
    <phoneticPr fontId="19"/>
  </si>
  <si>
    <t>P</t>
    <phoneticPr fontId="19"/>
  </si>
  <si>
    <t>Tj</t>
    <phoneticPr fontId="19"/>
  </si>
  <si>
    <t>IF(mA)</t>
    <phoneticPr fontId="19"/>
  </si>
  <si>
    <t>VF(V)</t>
    <phoneticPr fontId="19"/>
  </si>
  <si>
    <t>Rjc(℃/W)</t>
    <phoneticPr fontId="19"/>
  </si>
  <si>
    <t>Tc</t>
    <phoneticPr fontId="19"/>
  </si>
  <si>
    <t>VF@Tc=25C</t>
    <phoneticPr fontId="19"/>
  </si>
  <si>
    <t>φv@Tc=25C</t>
    <phoneticPr fontId="19"/>
  </si>
  <si>
    <t>Tc=25C定格Lm係数</t>
    <rPh sb="6" eb="8">
      <t>テイカク</t>
    </rPh>
    <rPh sb="10" eb="12">
      <t>ケイスウ</t>
    </rPh>
    <phoneticPr fontId="16"/>
  </si>
  <si>
    <t>⊿T j-c</t>
    <phoneticPr fontId="7"/>
  </si>
  <si>
    <t>ディレーティングカーブ</t>
    <phoneticPr fontId="7"/>
  </si>
  <si>
    <t>傾き</t>
    <rPh sb="0" eb="1">
      <t>カタム</t>
    </rPh>
    <phoneticPr fontId="7"/>
  </si>
  <si>
    <t>切片</t>
    <rPh sb="0" eb="2">
      <t>セッペン</t>
    </rPh>
    <phoneticPr fontId="7"/>
  </si>
  <si>
    <r>
      <t>y=ax</t>
    </r>
    <r>
      <rPr>
        <b/>
        <vertAlign val="superscript"/>
        <sz val="10"/>
        <rFont val="メイリオ"/>
        <family val="3"/>
        <charset val="128"/>
      </rPr>
      <t>3</t>
    </r>
    <r>
      <rPr>
        <b/>
        <sz val="10"/>
        <rFont val="メイリオ"/>
        <family val="3"/>
        <charset val="128"/>
      </rPr>
      <t>+bx</t>
    </r>
    <r>
      <rPr>
        <b/>
        <vertAlign val="superscript"/>
        <sz val="10"/>
        <rFont val="メイリオ"/>
        <family val="3"/>
        <charset val="128"/>
      </rPr>
      <t>2</t>
    </r>
    <r>
      <rPr>
        <b/>
        <sz val="10"/>
        <rFont val="メイリオ"/>
        <family val="3"/>
        <charset val="128"/>
      </rPr>
      <t>+cx+d/y=ax</t>
    </r>
    <r>
      <rPr>
        <b/>
        <vertAlign val="superscript"/>
        <sz val="10"/>
        <rFont val="メイリオ"/>
        <family val="3"/>
        <charset val="128"/>
      </rPr>
      <t>2</t>
    </r>
    <r>
      <rPr>
        <b/>
        <sz val="10"/>
        <rFont val="メイリオ"/>
        <family val="3"/>
        <charset val="128"/>
      </rPr>
      <t>+bx+c</t>
    </r>
    <phoneticPr fontId="7"/>
  </si>
  <si>
    <t>Product code</t>
    <phoneticPr fontId="7"/>
  </si>
  <si>
    <t>Tj (C)</t>
    <phoneticPr fontId="7"/>
  </si>
  <si>
    <t>N/A</t>
  </si>
  <si>
    <t>★</t>
    <phoneticPr fontId="7"/>
  </si>
  <si>
    <t>A number of LEDs</t>
    <phoneticPr fontId="7"/>
  </si>
  <si>
    <t>Total Q'ty</t>
    <phoneticPr fontId="7"/>
  </si>
  <si>
    <t>Reference</t>
    <phoneticPr fontId="7"/>
  </si>
  <si>
    <t>If [mA]</t>
    <phoneticPr fontId="7"/>
  </si>
  <si>
    <t>Vf [V]</t>
    <phoneticPr fontId="7"/>
  </si>
  <si>
    <t>Pd [W]</t>
    <phoneticPr fontId="7"/>
  </si>
  <si>
    <t>φv (lm)</t>
    <phoneticPr fontId="7"/>
  </si>
  <si>
    <t>lm/W</t>
    <phoneticPr fontId="7"/>
  </si>
  <si>
    <t>min</t>
    <phoneticPr fontId="7"/>
  </si>
  <si>
    <t>Vf rate</t>
    <phoneticPr fontId="7"/>
  </si>
  <si>
    <t>typ</t>
    <phoneticPr fontId="7"/>
  </si>
  <si>
    <t>max</t>
    <phoneticPr fontId="7"/>
  </si>
  <si>
    <t>IF/die</t>
    <phoneticPr fontId="7"/>
  </si>
  <si>
    <t>CITILED is a registered trademark of CITIZEN ELECTRONICS CO., LTD. Japan.</t>
    <phoneticPr fontId="7"/>
  </si>
  <si>
    <t>This selection tool is the reference material for selecting suitable products.</t>
  </si>
  <si>
    <t>When electing to use a product, please be sure to request a delivery and specifications manual and check the contents.</t>
  </si>
  <si>
    <t>CITIZEN ELECTRONICS CO., LTD. shall not be liable for any disadvantages or damages, which your company may receive, resulting from the use of selection tool.</t>
  </si>
  <si>
    <t>Product names and specifications in this selection tool are subject to change without notice for the purpose of improvement, or manufacturing may be discontinued.</t>
  </si>
  <si>
    <t>VF@Tc=25C</t>
    <phoneticPr fontId="19"/>
  </si>
  <si>
    <t>IF(x)-VF%(y)で算出</t>
    <rPh sb="13" eb="15">
      <t>サンシュツ</t>
    </rPh>
    <phoneticPr fontId="7"/>
  </si>
  <si>
    <t>4000K,80Min</t>
  </si>
  <si>
    <t>3000K,80Min</t>
  </si>
  <si>
    <t>2700K,80Min</t>
  </si>
  <si>
    <t>4000K,90Min On BBL</t>
  </si>
  <si>
    <t>3000K,90Min On BBL</t>
  </si>
  <si>
    <t>2700K,90Min On BBL</t>
  </si>
  <si>
    <t>CLU702-1202C9</t>
    <phoneticPr fontId="7"/>
  </si>
  <si>
    <t>CLU712-1204C9</t>
    <phoneticPr fontId="7"/>
  </si>
  <si>
    <t>175mA/die,Tj=85C</t>
    <phoneticPr fontId="7"/>
  </si>
  <si>
    <t>HI-ver.3</t>
    <phoneticPr fontId="7"/>
  </si>
  <si>
    <t>ディレーティング(暫定)</t>
    <rPh sb="9" eb="11">
      <t>ザンテイ</t>
    </rPh>
    <phoneticPr fontId="7"/>
  </si>
  <si>
    <t>CLU7A2-1201C9</t>
    <phoneticPr fontId="7"/>
  </si>
  <si>
    <t>Tc[℃]</t>
    <phoneticPr fontId="7"/>
  </si>
  <si>
    <t>IF[mA]</t>
    <phoneticPr fontId="7"/>
  </si>
  <si>
    <t>Color code &amp; Phosphor</t>
    <phoneticPr fontId="7"/>
  </si>
  <si>
    <t>403M2R1</t>
    <phoneticPr fontId="7"/>
  </si>
  <si>
    <t>303M2R1</t>
  </si>
  <si>
    <t>273M2R1</t>
  </si>
  <si>
    <t>403H5R2</t>
  </si>
  <si>
    <t>303H5R2</t>
  </si>
  <si>
    <t>273H5R2</t>
  </si>
  <si>
    <t>No.</t>
    <phoneticPr fontId="7"/>
  </si>
  <si>
    <t>4000K,97Typ</t>
    <phoneticPr fontId="7"/>
  </si>
  <si>
    <t>3000K,97Typ</t>
    <phoneticPr fontId="7"/>
  </si>
  <si>
    <t>2700K,97Typ</t>
    <phoneticPr fontId="7"/>
  </si>
  <si>
    <t>403H7R4</t>
    <phoneticPr fontId="7"/>
  </si>
  <si>
    <t>303H7R4</t>
    <phoneticPr fontId="7"/>
  </si>
  <si>
    <t>273H7R4</t>
    <phoneticPr fontId="7"/>
  </si>
  <si>
    <t>機種</t>
    <rPh sb="0" eb="2">
      <t>キシュ</t>
    </rPh>
    <phoneticPr fontId="54"/>
  </si>
  <si>
    <t>LED</t>
    <phoneticPr fontId="54"/>
  </si>
  <si>
    <t>直パラ素子</t>
    <rPh sb="0" eb="1">
      <t>チョク</t>
    </rPh>
    <rPh sb="3" eb="5">
      <t>ソシ</t>
    </rPh>
    <phoneticPr fontId="54"/>
  </si>
  <si>
    <t>HI-ver.2</t>
    <phoneticPr fontId="54"/>
  </si>
  <si>
    <t>HI-ver.3</t>
    <phoneticPr fontId="54"/>
  </si>
  <si>
    <t>230mA/Tj140℃</t>
    <phoneticPr fontId="54"/>
  </si>
  <si>
    <t>350mA/Tj140℃</t>
    <phoneticPr fontId="54"/>
  </si>
  <si>
    <t>230mA/Tj150℃</t>
    <phoneticPr fontId="54"/>
  </si>
  <si>
    <t>350mA/Tj150℃</t>
    <phoneticPr fontId="54"/>
  </si>
  <si>
    <t>CLU7B2</t>
    <phoneticPr fontId="54"/>
  </si>
  <si>
    <t>Φ3.3</t>
    <phoneticPr fontId="54"/>
  </si>
  <si>
    <t>0701C4</t>
    <phoneticPr fontId="54"/>
  </si>
  <si>
    <t>CLU7A2</t>
    <phoneticPr fontId="54"/>
  </si>
  <si>
    <t>Φ4.2</t>
    <phoneticPr fontId="54"/>
  </si>
  <si>
    <t>CLU702</t>
    <phoneticPr fontId="54"/>
  </si>
  <si>
    <t>Φ6.0</t>
    <phoneticPr fontId="54"/>
  </si>
  <si>
    <t>1002C4/1202C9</t>
    <phoneticPr fontId="54"/>
  </si>
  <si>
    <t>CLU712</t>
    <phoneticPr fontId="54"/>
  </si>
  <si>
    <t>Φ8.5</t>
    <phoneticPr fontId="54"/>
  </si>
  <si>
    <t>1204C4/1204C9</t>
    <phoneticPr fontId="54"/>
  </si>
  <si>
    <t>CLU7B2-0701C4</t>
    <phoneticPr fontId="7"/>
  </si>
  <si>
    <t>IF-VF</t>
    <phoneticPr fontId="7"/>
  </si>
  <si>
    <t>Tc-VF</t>
    <phoneticPr fontId="7"/>
  </si>
  <si>
    <t>a</t>
    <phoneticPr fontId="7"/>
  </si>
  <si>
    <t>d</t>
    <phoneticPr fontId="7"/>
  </si>
  <si>
    <t>Tc</t>
    <phoneticPr fontId="7"/>
  </si>
  <si>
    <t>IF/die</t>
    <phoneticPr fontId="7"/>
  </si>
  <si>
    <t>IF/PKG</t>
    <phoneticPr fontId="7"/>
  </si>
  <si>
    <t>VF</t>
    <phoneticPr fontId="7"/>
  </si>
  <si>
    <t>Rjc</t>
    <phoneticPr fontId="7"/>
  </si>
  <si>
    <t>Tj</t>
    <phoneticPr fontId="7"/>
  </si>
  <si>
    <t>Φv</t>
    <phoneticPr fontId="7"/>
  </si>
  <si>
    <t>CLU7A2,702,712</t>
    <phoneticPr fontId="7"/>
  </si>
  <si>
    <t>IF-Φv</t>
    <phoneticPr fontId="7"/>
  </si>
  <si>
    <t>Φv-IF</t>
    <phoneticPr fontId="7"/>
  </si>
  <si>
    <t>Tc-Φv</t>
    <phoneticPr fontId="7"/>
  </si>
  <si>
    <t>d</t>
    <phoneticPr fontId="7"/>
  </si>
  <si>
    <t>CLU702-1202C9</t>
    <phoneticPr fontId="7"/>
  </si>
  <si>
    <t>CLU712-1204C9</t>
    <phoneticPr fontId="7"/>
  </si>
  <si>
    <t>VF</t>
    <phoneticPr fontId="7"/>
  </si>
  <si>
    <t>Rjc</t>
    <phoneticPr fontId="7"/>
  </si>
  <si>
    <t>Tj</t>
    <phoneticPr fontId="7"/>
  </si>
  <si>
    <t>Φv</t>
    <phoneticPr fontId="7"/>
  </si>
  <si>
    <t>①機種情報</t>
    <rPh sb="1" eb="3">
      <t>キシュ</t>
    </rPh>
    <rPh sb="3" eb="5">
      <t>ジョウホウ</t>
    </rPh>
    <phoneticPr fontId="7"/>
  </si>
  <si>
    <t>②Limit</t>
    <phoneticPr fontId="7"/>
  </si>
  <si>
    <t>③代表特性</t>
    <rPh sb="1" eb="3">
      <t>ダイヒョウ</t>
    </rPh>
    <rPh sb="3" eb="5">
      <t>トクセイ</t>
    </rPh>
    <phoneticPr fontId="7"/>
  </si>
  <si>
    <t>IF-VF係数</t>
    <rPh sb="5" eb="7">
      <t>ケイスウ</t>
    </rPh>
    <phoneticPr fontId="7"/>
  </si>
  <si>
    <t>CLU7A2,702,712</t>
    <phoneticPr fontId="7"/>
  </si>
  <si>
    <t>CLU7B2-0701C4</t>
    <phoneticPr fontId="7"/>
  </si>
  <si>
    <t>④全光束(Tj=85℃,定格駆動)</t>
    <rPh sb="1" eb="2">
      <t>ゼン</t>
    </rPh>
    <rPh sb="2" eb="3">
      <t>コウ</t>
    </rPh>
    <rPh sb="3" eb="4">
      <t>ソク</t>
    </rPh>
    <rPh sb="12" eb="14">
      <t>テイカク</t>
    </rPh>
    <rPh sb="14" eb="16">
      <t>クドウ</t>
    </rPh>
    <phoneticPr fontId="7"/>
  </si>
  <si>
    <t>CLU7B2-0701C4</t>
    <phoneticPr fontId="54"/>
  </si>
  <si>
    <t>CLU702-1202C9</t>
    <phoneticPr fontId="54"/>
  </si>
  <si>
    <t>Ra</t>
    <phoneticPr fontId="54"/>
  </si>
  <si>
    <t>CCT</t>
    <phoneticPr fontId="54"/>
  </si>
  <si>
    <t>VF(V)</t>
    <phoneticPr fontId="54"/>
  </si>
  <si>
    <t>Φv(lm)</t>
    <phoneticPr fontId="54"/>
  </si>
  <si>
    <t>Sim0.92</t>
    <phoneticPr fontId="54"/>
  </si>
  <si>
    <t>R9</t>
    <phoneticPr fontId="54"/>
  </si>
  <si>
    <t>n</t>
    <phoneticPr fontId="54"/>
  </si>
  <si>
    <t>RΦv</t>
    <phoneticPr fontId="54"/>
  </si>
  <si>
    <t>vs Sim0.92</t>
    <phoneticPr fontId="54"/>
  </si>
  <si>
    <t>Ra</t>
    <phoneticPr fontId="54"/>
  </si>
  <si>
    <t>CCT</t>
    <phoneticPr fontId="54"/>
  </si>
  <si>
    <t>VF(V)</t>
    <phoneticPr fontId="54"/>
  </si>
  <si>
    <t>Φv(lm)</t>
    <phoneticPr fontId="54"/>
  </si>
  <si>
    <t>Sim0.92</t>
    <phoneticPr fontId="54"/>
  </si>
  <si>
    <t>R9</t>
    <phoneticPr fontId="54"/>
  </si>
  <si>
    <t>4000K</t>
    <phoneticPr fontId="54"/>
  </si>
  <si>
    <t>4000K</t>
    <phoneticPr fontId="54"/>
  </si>
  <si>
    <t>3000K</t>
    <phoneticPr fontId="54"/>
  </si>
  <si>
    <t>3000K</t>
    <phoneticPr fontId="54"/>
  </si>
  <si>
    <t>2700K</t>
    <phoneticPr fontId="54"/>
  </si>
  <si>
    <t>4000K</t>
    <phoneticPr fontId="54"/>
  </si>
  <si>
    <t>CLU7A2-1201C9</t>
    <phoneticPr fontId="54"/>
  </si>
  <si>
    <t>n</t>
    <phoneticPr fontId="54"/>
  </si>
  <si>
    <t>RΦv</t>
    <phoneticPr fontId="54"/>
  </si>
  <si>
    <t>vs Sim0.92</t>
    <phoneticPr fontId="54"/>
  </si>
  <si>
    <t>4000K</t>
    <phoneticPr fontId="54"/>
  </si>
  <si>
    <t>3000K</t>
    <phoneticPr fontId="54"/>
  </si>
  <si>
    <t>2700K</t>
    <phoneticPr fontId="54"/>
  </si>
  <si>
    <t>■確定スペック</t>
    <rPh sb="1" eb="3">
      <t>カクテイ</t>
    </rPh>
    <phoneticPr fontId="54"/>
  </si>
  <si>
    <t>CLU7B2-0701C4</t>
    <phoneticPr fontId="54"/>
  </si>
  <si>
    <t>CLU702-1202C9</t>
    <phoneticPr fontId="54"/>
  </si>
  <si>
    <t>Ra</t>
    <phoneticPr fontId="54"/>
  </si>
  <si>
    <t>CCT</t>
    <phoneticPr fontId="54"/>
  </si>
  <si>
    <t>IF(mA)</t>
    <phoneticPr fontId="54"/>
  </si>
  <si>
    <t>VF(V)</t>
    <phoneticPr fontId="54"/>
  </si>
  <si>
    <t>Φv(lm)</t>
    <phoneticPr fontId="54"/>
  </si>
  <si>
    <t>効率(lm/W)</t>
    <rPh sb="0" eb="2">
      <t>コウリツ</t>
    </rPh>
    <phoneticPr fontId="54"/>
  </si>
  <si>
    <t>Sim0.92</t>
    <phoneticPr fontId="54"/>
  </si>
  <si>
    <t>R9</t>
    <phoneticPr fontId="54"/>
  </si>
  <si>
    <t>RΦv</t>
    <phoneticPr fontId="54"/>
  </si>
  <si>
    <t>vs Sim0.92</t>
    <phoneticPr fontId="54"/>
  </si>
  <si>
    <t>IF(mA)</t>
    <phoneticPr fontId="54"/>
  </si>
  <si>
    <t>3000K</t>
    <phoneticPr fontId="54"/>
  </si>
  <si>
    <t>2700K</t>
    <phoneticPr fontId="54"/>
  </si>
  <si>
    <t>⑤全光束(Tc=25℃,定格駆動)</t>
    <rPh sb="1" eb="2">
      <t>ゼン</t>
    </rPh>
    <rPh sb="2" eb="3">
      <t>コウ</t>
    </rPh>
    <rPh sb="3" eb="4">
      <t>ソク</t>
    </rPh>
    <rPh sb="12" eb="14">
      <t>テイカク</t>
    </rPh>
    <rPh sb="14" eb="16">
      <t>クドウ</t>
    </rPh>
    <phoneticPr fontId="7"/>
  </si>
  <si>
    <t>Product</t>
    <phoneticPr fontId="7"/>
  </si>
  <si>
    <t>Parallel</t>
    <phoneticPr fontId="7"/>
  </si>
  <si>
    <t>07</t>
    <phoneticPr fontId="7"/>
  </si>
  <si>
    <t>01</t>
    <phoneticPr fontId="7"/>
  </si>
  <si>
    <t>02</t>
    <phoneticPr fontId="7"/>
  </si>
  <si>
    <t>04</t>
    <phoneticPr fontId="7"/>
  </si>
  <si>
    <t>CLU7B2</t>
    <phoneticPr fontId="7"/>
  </si>
  <si>
    <t>CLU7A2</t>
    <phoneticPr fontId="7"/>
  </si>
  <si>
    <t>CLU702</t>
    <phoneticPr fontId="7"/>
  </si>
  <si>
    <t>CLU712</t>
    <phoneticPr fontId="7"/>
  </si>
  <si>
    <t>chip</t>
    <phoneticPr fontId="7"/>
  </si>
  <si>
    <t>C4</t>
    <phoneticPr fontId="7"/>
  </si>
  <si>
    <t>C9</t>
    <phoneticPr fontId="7"/>
  </si>
  <si>
    <t>C9</t>
    <phoneticPr fontId="7"/>
  </si>
  <si>
    <t>CLU7B2-0701C4(HI-ver.2と同様)</t>
    <rPh sb="23" eb="25">
      <t>ドウヨウ</t>
    </rPh>
    <phoneticPr fontId="7"/>
  </si>
  <si>
    <t>HI-ver.2の係数適用</t>
    <rPh sb="9" eb="11">
      <t>ケイスウ</t>
    </rPh>
    <rPh sb="11" eb="13">
      <t>テキヨウ</t>
    </rPh>
    <phoneticPr fontId="7"/>
  </si>
  <si>
    <t>CLU7B2</t>
    <phoneticPr fontId="7"/>
  </si>
  <si>
    <t>5000K</t>
    <phoneticPr fontId="7"/>
  </si>
  <si>
    <t>3500K</t>
    <phoneticPr fontId="54"/>
  </si>
  <si>
    <t>2400K</t>
    <phoneticPr fontId="54"/>
  </si>
  <si>
    <t>CLU712-1204C9</t>
    <phoneticPr fontId="54"/>
  </si>
  <si>
    <t>5000K</t>
    <phoneticPr fontId="54"/>
  </si>
  <si>
    <t>3500K</t>
    <phoneticPr fontId="54"/>
  </si>
  <si>
    <t>3000K</t>
    <phoneticPr fontId="54"/>
  </si>
  <si>
    <t>2700K</t>
    <phoneticPr fontId="54"/>
  </si>
  <si>
    <t>4000K</t>
    <phoneticPr fontId="54"/>
  </si>
  <si>
    <t>2400K</t>
    <phoneticPr fontId="54"/>
  </si>
  <si>
    <t>BR-102/Z追加分</t>
    <rPh sb="8" eb="10">
      <t>ツイカ</t>
    </rPh>
    <rPh sb="10" eb="11">
      <t>ブン</t>
    </rPh>
    <phoneticPr fontId="7"/>
  </si>
  <si>
    <t>CRI補正</t>
    <rPh sb="3" eb="5">
      <t>ホセイ</t>
    </rPh>
    <phoneticPr fontId="7"/>
  </si>
  <si>
    <t>HI-V2 Spec</t>
    <phoneticPr fontId="7"/>
  </si>
  <si>
    <t>Cooper H5K5series</t>
    <phoneticPr fontId="7"/>
  </si>
  <si>
    <t>ΔΦv</t>
    <phoneticPr fontId="7"/>
  </si>
  <si>
    <t>Δefficiency</t>
    <phoneticPr fontId="7"/>
  </si>
  <si>
    <t>Δefficiency</t>
    <phoneticPr fontId="7"/>
  </si>
  <si>
    <t>CLU712-1204C9</t>
    <phoneticPr fontId="54"/>
  </si>
  <si>
    <t>HI-V3最終仕様</t>
    <rPh sb="5" eb="7">
      <t>サイシュウ</t>
    </rPh>
    <rPh sb="7" eb="9">
      <t>シヨウ</t>
    </rPh>
    <phoneticPr fontId="7"/>
  </si>
  <si>
    <t>Tc[℃]</t>
    <phoneticPr fontId="54"/>
  </si>
  <si>
    <t>IF[mA]</t>
    <phoneticPr fontId="54"/>
  </si>
  <si>
    <t>ディレーティング(Lifen/XAL/Cooper暫定)</t>
    <rPh sb="25" eb="27">
      <t>ザンテイ</t>
    </rPh>
    <phoneticPr fontId="7"/>
  </si>
  <si>
    <t>ディレーティング(最終)</t>
    <rPh sb="9" eb="11">
      <t>サイシュウ</t>
    </rPh>
    <phoneticPr fontId="7"/>
  </si>
  <si>
    <t>Tj=140℃</t>
    <phoneticPr fontId="7"/>
  </si>
  <si>
    <t>IF(mA)</t>
    <phoneticPr fontId="7"/>
  </si>
  <si>
    <t>Tc(℃)</t>
    <phoneticPr fontId="7"/>
  </si>
  <si>
    <t>樹脂温度=205℃</t>
    <rPh sb="0" eb="2">
      <t>ジュシ</t>
    </rPh>
    <rPh sb="2" eb="4">
      <t>オンド</t>
    </rPh>
    <phoneticPr fontId="7"/>
  </si>
  <si>
    <t>Tc(℃)</t>
    <phoneticPr fontId="7"/>
  </si>
  <si>
    <t>IF(mA)</t>
    <phoneticPr fontId="7"/>
  </si>
  <si>
    <t>時間(h)</t>
    <rPh sb="0" eb="2">
      <t>ジカン</t>
    </rPh>
    <phoneticPr fontId="7"/>
  </si>
  <si>
    <t>光束(%)</t>
    <rPh sb="0" eb="1">
      <t>コウ</t>
    </rPh>
    <rPh sb="1" eb="2">
      <t>ソク</t>
    </rPh>
    <phoneticPr fontId="7"/>
  </si>
  <si>
    <t>樹脂温度</t>
    <rPh sb="0" eb="2">
      <t>ジュシ</t>
    </rPh>
    <rPh sb="2" eb="4">
      <t>オンド</t>
    </rPh>
    <phoneticPr fontId="7"/>
  </si>
  <si>
    <t>Tj</t>
    <phoneticPr fontId="7"/>
  </si>
  <si>
    <t>熱抵抗算出条件は基本230mA/Tj140℃</t>
    <rPh sb="0" eb="1">
      <t>ネツ</t>
    </rPh>
    <rPh sb="1" eb="3">
      <t>テイコウ</t>
    </rPh>
    <rPh sb="3" eb="5">
      <t>サンシュツ</t>
    </rPh>
    <rPh sb="5" eb="7">
      <t>ジョウケン</t>
    </rPh>
    <rPh sb="8" eb="10">
      <t>キホン</t>
    </rPh>
    <phoneticPr fontId="7"/>
  </si>
  <si>
    <t>230mA/Tj140℃</t>
    <phoneticPr fontId="7"/>
  </si>
  <si>
    <t>HI-V2同様の説明としては素子がC4→C9になりサイズアップすることで熱抵抗ダウンとなるが、</t>
    <rPh sb="5" eb="7">
      <t>ドウヨウ</t>
    </rPh>
    <rPh sb="8" eb="10">
      <t>セツメイ</t>
    </rPh>
    <rPh sb="14" eb="16">
      <t>ソシ</t>
    </rPh>
    <rPh sb="36" eb="37">
      <t>ネツ</t>
    </rPh>
    <rPh sb="37" eb="39">
      <t>テイコウ</t>
    </rPh>
    <phoneticPr fontId="7"/>
  </si>
  <si>
    <t>2.98からマージンをとって繰り上げて3.0とする</t>
    <rPh sb="14" eb="15">
      <t>ク</t>
    </rPh>
    <rPh sb="16" eb="17">
      <t>ア</t>
    </rPh>
    <phoneticPr fontId="7"/>
  </si>
  <si>
    <t>HI-V2の熱抵抗は4.2だがPKGが小さく素子狭GAPであるためマージン含めそれより大きい数値で設定。5.34からマージンをとって繰り上げて5.4とする</t>
    <rPh sb="6" eb="7">
      <t>ネツ</t>
    </rPh>
    <rPh sb="7" eb="9">
      <t>テイコウ</t>
    </rPh>
    <rPh sb="19" eb="20">
      <t>チイ</t>
    </rPh>
    <rPh sb="22" eb="24">
      <t>ソシ</t>
    </rPh>
    <rPh sb="24" eb="25">
      <t>キョウ</t>
    </rPh>
    <rPh sb="37" eb="38">
      <t>フク</t>
    </rPh>
    <rPh sb="43" eb="44">
      <t>ダイ</t>
    </rPh>
    <rPh sb="46" eb="48">
      <t>スウチ</t>
    </rPh>
    <rPh sb="49" eb="51">
      <t>セッテイ</t>
    </rPh>
    <phoneticPr fontId="7"/>
  </si>
  <si>
    <t>ペースト厚みが厚くなっている(ペースト径Φ260mm→Φ280mm)ためいってこいの関係から差異なしと判断</t>
    <rPh sb="4" eb="5">
      <t>アツ</t>
    </rPh>
    <rPh sb="7" eb="8">
      <t>アツ</t>
    </rPh>
    <rPh sb="19" eb="20">
      <t>ケイ</t>
    </rPh>
    <rPh sb="42" eb="44">
      <t>カンケイ</t>
    </rPh>
    <rPh sb="46" eb="48">
      <t>サイ</t>
    </rPh>
    <rPh sb="51" eb="53">
      <t>ハンダン</t>
    </rPh>
    <phoneticPr fontId="7"/>
  </si>
  <si>
    <t>色温度</t>
    <rPh sb="0" eb="1">
      <t>イロ</t>
    </rPh>
    <rPh sb="1" eb="3">
      <t>オンド</t>
    </rPh>
    <phoneticPr fontId="7"/>
  </si>
  <si>
    <t>Specマージン</t>
    <phoneticPr fontId="7"/>
  </si>
  <si>
    <t>Pd（W）</t>
    <phoneticPr fontId="7"/>
  </si>
  <si>
    <t>Pd（W）</t>
    <phoneticPr fontId="7"/>
  </si>
  <si>
    <t>[Data]</t>
  </si>
  <si>
    <t>※左　積分球データにて　値で貼り付け</t>
    <rPh sb="1" eb="2">
      <t>ヒダリ</t>
    </rPh>
    <rPh sb="3" eb="5">
      <t>セキブン</t>
    </rPh>
    <rPh sb="5" eb="6">
      <t>キュウ</t>
    </rPh>
    <rPh sb="12" eb="13">
      <t>アタイ</t>
    </rPh>
    <rPh sb="14" eb="15">
      <t>ハ</t>
    </rPh>
    <rPh sb="16" eb="17">
      <t>ツ</t>
    </rPh>
    <phoneticPr fontId="7"/>
  </si>
  <si>
    <t>[Condition]</t>
  </si>
  <si>
    <t>No</t>
  </si>
  <si>
    <t>日時</t>
  </si>
  <si>
    <t>経過時間[sec]</t>
  </si>
  <si>
    <t>全光束[lm]</t>
  </si>
  <si>
    <t>光量子量[mol/sec]</t>
  </si>
  <si>
    <t>外部量子効率[%]</t>
  </si>
  <si>
    <t>発光効率[lm/W]</t>
  </si>
  <si>
    <t>測定電圧[V]</t>
  </si>
  <si>
    <t>測定電流[mA]</t>
  </si>
  <si>
    <t>電力[W]</t>
  </si>
  <si>
    <t>規格判定</t>
  </si>
  <si>
    <t>CH1</t>
  </si>
  <si>
    <t>CH2</t>
  </si>
  <si>
    <t>CH3</t>
  </si>
  <si>
    <t>CH4</t>
  </si>
  <si>
    <t>X</t>
  </si>
  <si>
    <t>Y</t>
  </si>
  <si>
    <t>Z</t>
  </si>
  <si>
    <t>x</t>
  </si>
  <si>
    <t>y</t>
  </si>
  <si>
    <t>u</t>
  </si>
  <si>
    <t>v</t>
  </si>
  <si>
    <t>u'</t>
  </si>
  <si>
    <t>v'</t>
  </si>
  <si>
    <t>主波長[nm]</t>
  </si>
  <si>
    <t>刺激純度[%]</t>
  </si>
  <si>
    <t>相関色温度[K]</t>
  </si>
  <si>
    <t>Duv</t>
  </si>
  <si>
    <t>Ra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</si>
  <si>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</si>
  <si>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</si>
  <si>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</si>
  <si>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</si>
  <si>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</si>
  <si>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</si>
  <si>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</si>
  <si>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</si>
  <si>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</si>
  <si>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</si>
  <si>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</si>
  <si>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</si>
  <si>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</si>
  <si>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</si>
  <si>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</si>
  <si>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放射束[W]</t>
  </si>
  <si>
    <t>ﾋﾟｰｸ波長1[nm]</t>
  </si>
  <si>
    <t>ﾋﾟｰｸ波長2[nm]</t>
  </si>
  <si>
    <t>ﾋﾟｰｸ波長3[nm]</t>
  </si>
  <si>
    <t>ﾋﾟｰｸ波長4[nm]</t>
  </si>
  <si>
    <t>ﾋﾟｰｸ波長5[nm]</t>
  </si>
  <si>
    <t>重心波長1[nm]</t>
  </si>
  <si>
    <t>重心波長2[nm]</t>
  </si>
  <si>
    <t>重心波長3[nm]</t>
  </si>
  <si>
    <t>重心波長4[nm]</t>
  </si>
  <si>
    <t>重心波長5[nm]</t>
  </si>
  <si>
    <t>ｻﾝﾌﾟﾙ名</t>
  </si>
  <si>
    <t>ｺﾒﾝﾄ</t>
  </si>
  <si>
    <t>ﾓｰﾄﾞ</t>
  </si>
  <si>
    <t>発生対象</t>
  </si>
  <si>
    <t>電源制御ﾓｰﾄﾞ</t>
  </si>
  <si>
    <t>電流[mA]</t>
  </si>
  <si>
    <t>ﾍﾞｰｽ値</t>
  </si>
  <si>
    <t>電圧[V]</t>
  </si>
  <si>
    <t>ﾊﾟﾙｽ幅[ms]</t>
  </si>
  <si>
    <t>ﾊﾟﾙｽﾃﾞｨﾚｲ[ms]</t>
  </si>
  <si>
    <t>電源測定ﾃﾞｨﾚｲ[ms]</t>
  </si>
  <si>
    <t>積分時間</t>
  </si>
  <si>
    <t>規格判定 : 有効</t>
  </si>
  <si>
    <t>標準電球名</t>
  </si>
  <si>
    <t>校正ファイル名</t>
  </si>
  <si>
    <t>自己吸収補正係数</t>
  </si>
  <si>
    <t>全光束補正係数</t>
  </si>
  <si>
    <t>K0</t>
  </si>
  <si>
    <t>露光時間[ms]</t>
  </si>
  <si>
    <t>NDﾌｨﾙﾀ</t>
  </si>
  <si>
    <t>ｱﾝﾌﾟｹﾞｲﾝ</t>
  </si>
  <si>
    <t>積算回数</t>
  </si>
  <si>
    <t>測定ﾃﾞｨﾚｲ[ms]</t>
  </si>
  <si>
    <t>---</t>
  </si>
  <si>
    <t>***</t>
  </si>
  <si>
    <t>H ペルチェ</t>
  </si>
  <si>
    <t>代1  IF=30 TC=25</t>
  </si>
  <si>
    <t>Manual</t>
  </si>
  <si>
    <t>Current</t>
  </si>
  <si>
    <t>DC</t>
  </si>
  <si>
    <t>1PLC</t>
  </si>
  <si>
    <t>L136</t>
  </si>
  <si>
    <t>180523_L136_ND10</t>
  </si>
  <si>
    <t>0.05mm</t>
  </si>
  <si>
    <t>Normal</t>
  </si>
  <si>
    <t>代1  IF=60 TC=25</t>
  </si>
  <si>
    <t>代1  IF=90 TC=25</t>
  </si>
  <si>
    <t>代1  IF=120 TC=25</t>
  </si>
  <si>
    <t>代1  IF=150 TC=25</t>
  </si>
  <si>
    <t>代1  IF=175 TC=25</t>
  </si>
  <si>
    <t>代1  IF=210 TC=25</t>
  </si>
  <si>
    <t>代1  IF=240 TC=25</t>
  </si>
  <si>
    <t>代1  IF=270 TC=25</t>
  </si>
  <si>
    <t>代1  IF=300 TC=25</t>
  </si>
  <si>
    <t>代1  IF=350 TC=25</t>
  </si>
  <si>
    <t>代1  IF=400 TC=25</t>
  </si>
  <si>
    <t>代1  IF=175 TC=0</t>
  </si>
  <si>
    <t>代1  IF=175 TC=45</t>
  </si>
  <si>
    <t>代1  IF=175 TC=65</t>
  </si>
  <si>
    <t>代1  IF=175 TC=66.3</t>
  </si>
  <si>
    <t>代1  IF=175 TC=85</t>
  </si>
  <si>
    <t>代1  IF=175 TC=105</t>
  </si>
  <si>
    <t>代1  IF=175 TC=125</t>
  </si>
  <si>
    <t>代1  IF=175 TC=135</t>
  </si>
  <si>
    <t>代2  IF=30 TC=25</t>
  </si>
  <si>
    <t>代2  IF=60 TC=25</t>
  </si>
  <si>
    <t>代2  IF=90 TC=25</t>
  </si>
  <si>
    <t>代2  IF=120 TC=25</t>
  </si>
  <si>
    <t>代2  IF=150 TC=25</t>
  </si>
  <si>
    <t>代2  IF=175 TC=25</t>
  </si>
  <si>
    <t>代2  IF=210 TC=25</t>
  </si>
  <si>
    <t>代2  IF=240 TC=25</t>
  </si>
  <si>
    <t>代2  IF=270 TC=25</t>
  </si>
  <si>
    <t>代2  IF=300 TC=25</t>
  </si>
  <si>
    <t>代2  IF=350 TC=25</t>
  </si>
  <si>
    <t>代2  IF=400 TC=25</t>
  </si>
  <si>
    <t>代2  IF=175 TC=0</t>
  </si>
  <si>
    <t>代2  IF=175 TC=45</t>
  </si>
  <si>
    <t>代2  IF=175 TC=65</t>
  </si>
  <si>
    <t>代2  IF=175 TC=66.3</t>
  </si>
  <si>
    <t>代2  IF=175 TC=85</t>
  </si>
  <si>
    <t>代2  IF=175 TC=105</t>
  </si>
  <si>
    <t>代2  IF=175 TC=125</t>
  </si>
  <si>
    <t>代2  IF=175 TC=135</t>
  </si>
  <si>
    <t>140317@代表特性測定フォーマット_5.00</t>
    <rPh sb="7" eb="9">
      <t>ダイヒョウ</t>
    </rPh>
    <rPh sb="9" eb="11">
      <t>トクセイ</t>
    </rPh>
    <rPh sb="11" eb="13">
      <t>ソクテイ</t>
    </rPh>
    <phoneticPr fontId="7"/>
  </si>
  <si>
    <t>測定日：</t>
    <rPh sb="0" eb="2">
      <t>ソクテイ</t>
    </rPh>
    <rPh sb="2" eb="3">
      <t>ビ</t>
    </rPh>
    <phoneticPr fontId="7"/>
  </si>
  <si>
    <t>下の黄色グラフで個別データを確認しながら測定</t>
    <rPh sb="0" eb="1">
      <t>シタ</t>
    </rPh>
    <rPh sb="2" eb="4">
      <t>キイロ</t>
    </rPh>
    <rPh sb="8" eb="10">
      <t>コベツ</t>
    </rPh>
    <rPh sb="14" eb="16">
      <t>カクニン</t>
    </rPh>
    <rPh sb="20" eb="22">
      <t>ソクテイ</t>
    </rPh>
    <phoneticPr fontId="7"/>
  </si>
  <si>
    <t>機種名：</t>
    <rPh sb="0" eb="3">
      <t>キシュメイ</t>
    </rPh>
    <phoneticPr fontId="7"/>
  </si>
  <si>
    <t>CQ7A03H1201C9-303H5R2</t>
    <phoneticPr fontId="7"/>
  </si>
  <si>
    <t>試作No.：</t>
    <rPh sb="0" eb="2">
      <t>シサク</t>
    </rPh>
    <phoneticPr fontId="7"/>
  </si>
  <si>
    <t>記入</t>
  </si>
  <si>
    <t>素子波長：</t>
    <rPh sb="0" eb="2">
      <t>ソシ</t>
    </rPh>
    <rPh sb="2" eb="4">
      <t>ハチョウ</t>
    </rPh>
    <phoneticPr fontId="7"/>
  </si>
  <si>
    <t>直列数：</t>
    <rPh sb="0" eb="2">
      <t>チョクレツ</t>
    </rPh>
    <rPh sb="2" eb="3">
      <t>カズ</t>
    </rPh>
    <phoneticPr fontId="7"/>
  </si>
  <si>
    <t>並列数：</t>
    <rPh sb="0" eb="1">
      <t>ヘイ</t>
    </rPh>
    <rPh sb="1" eb="3">
      <t>レツスウ</t>
    </rPh>
    <phoneticPr fontId="7"/>
  </si>
  <si>
    <t>測定方法：</t>
    <rPh sb="0" eb="2">
      <t>ソクテイ</t>
    </rPh>
    <rPh sb="2" eb="4">
      <t>ホウホウ</t>
    </rPh>
    <phoneticPr fontId="7"/>
  </si>
  <si>
    <t>PLS</t>
    <phoneticPr fontId="7"/>
  </si>
  <si>
    <t>Tc(℃)：</t>
  </si>
  <si>
    <t>投入VF:：</t>
    <rPh sb="0" eb="2">
      <t>トウニュウ</t>
    </rPh>
    <phoneticPr fontId="7"/>
  </si>
  <si>
    <t>※青文字：計算値</t>
    <rPh sb="1" eb="2">
      <t>アオ</t>
    </rPh>
    <rPh sb="2" eb="4">
      <t>モジ</t>
    </rPh>
    <rPh sb="5" eb="8">
      <t>ケイサンチ</t>
    </rPh>
    <phoneticPr fontId="7"/>
  </si>
  <si>
    <t>※緑文字：3回測定平均値</t>
    <rPh sb="1" eb="2">
      <t>ミドリ</t>
    </rPh>
    <rPh sb="2" eb="4">
      <t>モジ</t>
    </rPh>
    <rPh sb="6" eb="7">
      <t>カイ</t>
    </rPh>
    <rPh sb="7" eb="9">
      <t>ソクテイ</t>
    </rPh>
    <rPh sb="9" eb="11">
      <t>ヘイキン</t>
    </rPh>
    <rPh sb="11" eb="12">
      <t>アタイ</t>
    </rPh>
    <phoneticPr fontId="7"/>
  </si>
  <si>
    <t>←VF typ.係数</t>
    <rPh sb="8" eb="10">
      <t>ケイスウ</t>
    </rPh>
    <phoneticPr fontId="7"/>
  </si>
  <si>
    <t>ペルチェIF</t>
    <phoneticPr fontId="7"/>
  </si>
  <si>
    <t>露光時間</t>
  </si>
  <si>
    <t>IF-VF特性</t>
    <rPh sb="5" eb="7">
      <t>トクセイ</t>
    </rPh>
    <phoneticPr fontId="7"/>
  </si>
  <si>
    <t>VF [V]</t>
    <phoneticPr fontId="7"/>
  </si>
  <si>
    <t>typ.換算</t>
    <rPh sb="4" eb="6">
      <t>カンザン</t>
    </rPh>
    <phoneticPr fontId="7"/>
  </si>
  <si>
    <t>⊿VF</t>
    <phoneticPr fontId="7"/>
  </si>
  <si>
    <t>［A］(参考)</t>
    <rPh sb="4" eb="6">
      <t>サンコウ</t>
    </rPh>
    <phoneticPr fontId="7"/>
  </si>
  <si>
    <t>[ms](参考)</t>
    <rPh sb="5" eb="7">
      <t>サンコウ</t>
    </rPh>
    <phoneticPr fontId="7"/>
  </si>
  <si>
    <t>IF/PKG</t>
    <phoneticPr fontId="7"/>
  </si>
  <si>
    <t>No.1</t>
    <phoneticPr fontId="7"/>
  </si>
  <si>
    <t>No.2</t>
    <phoneticPr fontId="7"/>
  </si>
  <si>
    <t>No.**</t>
    <phoneticPr fontId="7"/>
  </si>
  <si>
    <t>ave.</t>
  </si>
  <si>
    <t>記入</t>
    <rPh sb="0" eb="2">
      <t>キニュウ</t>
    </rPh>
    <phoneticPr fontId="7"/>
  </si>
  <si>
    <t>%</t>
    <phoneticPr fontId="7"/>
  </si>
  <si>
    <t>←Φv typ.係数</t>
    <rPh sb="8" eb="10">
      <t>ケイスウ</t>
    </rPh>
    <phoneticPr fontId="7"/>
  </si>
  <si>
    <t>IF-φv特性</t>
    <rPh sb="5" eb="7">
      <t>トクセイ</t>
    </rPh>
    <phoneticPr fontId="7"/>
  </si>
  <si>
    <t>φv[lm]</t>
    <phoneticPr fontId="7"/>
  </si>
  <si>
    <t>⊿φv</t>
    <phoneticPr fontId="7"/>
  </si>
  <si>
    <t>ave.</t>
    <phoneticPr fontId="7"/>
  </si>
  <si>
    <t>%</t>
    <phoneticPr fontId="7"/>
  </si>
  <si>
    <t>IF-xy特性</t>
    <rPh sb="5" eb="7">
      <t>トクセイ</t>
    </rPh>
    <phoneticPr fontId="7"/>
  </si>
  <si>
    <t>IF/PKG</t>
    <phoneticPr fontId="7"/>
  </si>
  <si>
    <t>x</t>
    <phoneticPr fontId="7"/>
  </si>
  <si>
    <t>y</t>
    <phoneticPr fontId="7"/>
  </si>
  <si>
    <t>x</t>
    <phoneticPr fontId="7"/>
  </si>
  <si>
    <t>⊿x</t>
    <phoneticPr fontId="7"/>
  </si>
  <si>
    <t>⊿y</t>
    <phoneticPr fontId="7"/>
  </si>
  <si>
    <t>色度範囲の情報貼り付け</t>
    <rPh sb="0" eb="1">
      <t>シキ</t>
    </rPh>
    <rPh sb="1" eb="2">
      <t>ド</t>
    </rPh>
    <rPh sb="2" eb="4">
      <t>ハンイ</t>
    </rPh>
    <rPh sb="5" eb="7">
      <t>ジョウホウ</t>
    </rPh>
    <rPh sb="7" eb="8">
      <t>ハ</t>
    </rPh>
    <rPh sb="9" eb="10">
      <t>ツ</t>
    </rPh>
    <phoneticPr fontId="7"/>
  </si>
  <si>
    <t>x</t>
    <phoneticPr fontId="7"/>
  </si>
  <si>
    <t>y</t>
    <phoneticPr fontId="7"/>
  </si>
  <si>
    <t>中心x</t>
  </si>
  <si>
    <t>中心y</t>
  </si>
  <si>
    <t xml:space="preserve"> </t>
    <phoneticPr fontId="7"/>
  </si>
  <si>
    <t>楕円θ°</t>
  </si>
  <si>
    <t>長軸a</t>
  </si>
  <si>
    <t>短軸b</t>
  </si>
  <si>
    <t>楕円x</t>
  </si>
  <si>
    <t>楕円y</t>
  </si>
  <si>
    <t>ペルチェIF</t>
  </si>
  <si>
    <t>Tc-VF特性</t>
    <rPh sb="5" eb="7">
      <t>トクセイ</t>
    </rPh>
    <phoneticPr fontId="7"/>
  </si>
  <si>
    <t>［A］(参考)</t>
  </si>
  <si>
    <t>[ms](参考)</t>
  </si>
  <si>
    <r>
      <t xml:space="preserve">Tc </t>
    </r>
    <r>
      <rPr>
        <sz val="11"/>
        <rFont val="ＭＳ Ｐゴシック"/>
        <family val="3"/>
        <charset val="128"/>
      </rPr>
      <t>［℃］</t>
    </r>
    <phoneticPr fontId="7"/>
  </si>
  <si>
    <t>Tc-φv特性</t>
    <rPh sb="5" eb="7">
      <t>トクセイ</t>
    </rPh>
    <phoneticPr fontId="7"/>
  </si>
  <si>
    <t>Tc-xy特性</t>
    <rPh sb="5" eb="7">
      <t>トクセイ</t>
    </rPh>
    <phoneticPr fontId="7"/>
  </si>
  <si>
    <t>130318@代表特性測定フォーマット_4.00</t>
    <rPh sb="7" eb="9">
      <t>ダイヒョウ</t>
    </rPh>
    <rPh sb="9" eb="11">
      <t>トクセイ</t>
    </rPh>
    <rPh sb="11" eb="13">
      <t>ソクテイ</t>
    </rPh>
    <phoneticPr fontId="7"/>
  </si>
  <si>
    <t>スペクトル</t>
    <phoneticPr fontId="7"/>
  </si>
  <si>
    <t>波長ランク</t>
    <rPh sb="0" eb="2">
      <t>ハチョウ</t>
    </rPh>
    <phoneticPr fontId="7"/>
  </si>
  <si>
    <t>25℃</t>
  </si>
  <si>
    <t>←max.</t>
    <phoneticPr fontId="7"/>
  </si>
  <si>
    <t>単位</t>
  </si>
  <si>
    <t>W/nm</t>
  </si>
  <si>
    <t>相対値(%)</t>
    <rPh sb="0" eb="2">
      <t>ソウタイ</t>
    </rPh>
    <rPh sb="2" eb="3">
      <t>アタイ</t>
    </rPh>
    <phoneticPr fontId="7"/>
  </si>
  <si>
    <t>WD[nm]</t>
    <phoneticPr fontId="7"/>
  </si>
  <si>
    <t>ｘ</t>
  </si>
  <si>
    <t>ｙ</t>
  </si>
  <si>
    <t>D</t>
    <phoneticPr fontId="7"/>
  </si>
  <si>
    <t>a</t>
  </si>
  <si>
    <t>N</t>
    <phoneticPr fontId="7"/>
  </si>
  <si>
    <t>W</t>
    <phoneticPr fontId="7"/>
  </si>
  <si>
    <t>WW</t>
    <phoneticPr fontId="7"/>
  </si>
  <si>
    <t>L</t>
    <phoneticPr fontId="7"/>
  </si>
  <si>
    <t>b</t>
  </si>
  <si>
    <t>c</t>
  </si>
  <si>
    <t>d</t>
  </si>
  <si>
    <t>BIN code</t>
    <phoneticPr fontId="7"/>
  </si>
  <si>
    <t>DR1</t>
    <phoneticPr fontId="7"/>
  </si>
  <si>
    <t>NR1</t>
    <phoneticPr fontId="7"/>
  </si>
  <si>
    <t>WR1</t>
    <phoneticPr fontId="7"/>
  </si>
  <si>
    <t>WWR1</t>
    <phoneticPr fontId="7"/>
  </si>
  <si>
    <t>LR1</t>
    <phoneticPr fontId="7"/>
  </si>
  <si>
    <t>e</t>
  </si>
  <si>
    <t>DR2</t>
    <phoneticPr fontId="7"/>
  </si>
  <si>
    <t>NR2</t>
    <phoneticPr fontId="7"/>
  </si>
  <si>
    <t>WR2</t>
    <phoneticPr fontId="7"/>
  </si>
  <si>
    <t>WWR2</t>
    <phoneticPr fontId="7"/>
  </si>
  <si>
    <t>LR2</t>
    <phoneticPr fontId="7"/>
  </si>
  <si>
    <t>DR3</t>
    <phoneticPr fontId="7"/>
  </si>
  <si>
    <t>NR3</t>
    <phoneticPr fontId="7"/>
  </si>
  <si>
    <t>WR3</t>
    <phoneticPr fontId="7"/>
  </si>
  <si>
    <t>WWR3</t>
    <phoneticPr fontId="7"/>
  </si>
  <si>
    <t>LR3</t>
    <phoneticPr fontId="7"/>
  </si>
  <si>
    <t>DR4</t>
    <phoneticPr fontId="7"/>
  </si>
  <si>
    <t>NR4</t>
    <phoneticPr fontId="7"/>
  </si>
  <si>
    <t>WR4</t>
    <phoneticPr fontId="7"/>
  </si>
  <si>
    <t>WWR4</t>
    <phoneticPr fontId="7"/>
  </si>
  <si>
    <t>LR4</t>
    <phoneticPr fontId="7"/>
  </si>
  <si>
    <t>DR5</t>
    <phoneticPr fontId="7"/>
  </si>
  <si>
    <t>NR5</t>
    <phoneticPr fontId="7"/>
  </si>
  <si>
    <t>WWR5</t>
    <phoneticPr fontId="7"/>
  </si>
  <si>
    <t>DR6</t>
    <phoneticPr fontId="7"/>
  </si>
  <si>
    <t>NR6</t>
    <phoneticPr fontId="7"/>
  </si>
  <si>
    <t>WWR6</t>
    <phoneticPr fontId="7"/>
  </si>
  <si>
    <t>新色度範囲(09.02.24)より抜粋</t>
    <rPh sb="0" eb="1">
      <t>シン</t>
    </rPh>
    <rPh sb="1" eb="3">
      <t>シキド</t>
    </rPh>
    <rPh sb="3" eb="5">
      <t>ハンイ</t>
    </rPh>
    <rPh sb="17" eb="19">
      <t>バッスイ</t>
    </rPh>
    <phoneticPr fontId="7"/>
  </si>
  <si>
    <t>2700K(ANSI)</t>
    <phoneticPr fontId="7"/>
  </si>
  <si>
    <t>3000K(ANSI)</t>
    <phoneticPr fontId="7"/>
  </si>
  <si>
    <t>3500K(ANSI)</t>
    <phoneticPr fontId="7"/>
  </si>
  <si>
    <t>4000K(ANSI)</t>
    <phoneticPr fontId="7"/>
  </si>
  <si>
    <t>4500K(ANSI)</t>
    <phoneticPr fontId="7"/>
  </si>
  <si>
    <t>5000K(CL-824)</t>
    <phoneticPr fontId="7"/>
  </si>
  <si>
    <t>6300K(CL-824)</t>
    <phoneticPr fontId="7"/>
  </si>
  <si>
    <t>ML2</t>
    <phoneticPr fontId="7"/>
  </si>
  <si>
    <t>ML1</t>
    <phoneticPr fontId="7"/>
  </si>
  <si>
    <t>MWW1</t>
    <phoneticPr fontId="7"/>
  </si>
  <si>
    <t>MW1</t>
    <phoneticPr fontId="7"/>
  </si>
  <si>
    <t>MN2 (保留)</t>
    <rPh sb="5" eb="7">
      <t>ホリュウ</t>
    </rPh>
    <phoneticPr fontId="7"/>
  </si>
  <si>
    <t>MN</t>
    <phoneticPr fontId="7"/>
  </si>
  <si>
    <t>MD</t>
    <phoneticPr fontId="7"/>
  </si>
  <si>
    <t>center point</t>
    <phoneticPr fontId="7"/>
  </si>
  <si>
    <t>b</t>
    <phoneticPr fontId="7"/>
  </si>
  <si>
    <t>c</t>
    <phoneticPr fontId="7"/>
  </si>
  <si>
    <t>d</t>
    <phoneticPr fontId="7"/>
  </si>
  <si>
    <t>黒体軌跡</t>
    <rPh sb="0" eb="1">
      <t>クロ</t>
    </rPh>
    <rPh sb="1" eb="2">
      <t>カラダ</t>
    </rPh>
    <rPh sb="2" eb="4">
      <t>キセキ</t>
    </rPh>
    <phoneticPr fontId="7"/>
  </si>
  <si>
    <t>K</t>
    <phoneticPr fontId="7"/>
  </si>
  <si>
    <t>日亜D</t>
    <rPh sb="0" eb="2">
      <t>ニチア</t>
    </rPh>
    <phoneticPr fontId="7"/>
  </si>
  <si>
    <t>b3</t>
    <phoneticPr fontId="7"/>
  </si>
  <si>
    <t>b4</t>
    <phoneticPr fontId="7"/>
  </si>
  <si>
    <t>5000K(ANSI)</t>
    <phoneticPr fontId="7"/>
  </si>
  <si>
    <t>b5</t>
    <phoneticPr fontId="7"/>
  </si>
  <si>
    <t>b6</t>
    <phoneticPr fontId="7"/>
  </si>
  <si>
    <t>パナライティング2800K</t>
    <phoneticPr fontId="7"/>
  </si>
  <si>
    <t>パナライティング6700K</t>
    <phoneticPr fontId="7"/>
  </si>
  <si>
    <t>6700K±0.002　Ta25℃</t>
  </si>
  <si>
    <t>新色度範囲</t>
    <rPh sb="0" eb="1">
      <t>シン</t>
    </rPh>
    <rPh sb="1" eb="2">
      <t>シキ</t>
    </rPh>
    <rPh sb="2" eb="3">
      <t>ド</t>
    </rPh>
    <rPh sb="3" eb="5">
      <t>ハンイ</t>
    </rPh>
    <phoneticPr fontId="7"/>
  </si>
  <si>
    <t>現行右上シフト</t>
    <rPh sb="0" eb="2">
      <t>ゲンコウ</t>
    </rPh>
    <rPh sb="2" eb="4">
      <t>ミギウエ</t>
    </rPh>
    <phoneticPr fontId="7"/>
  </si>
  <si>
    <t>x</t>
    <phoneticPr fontId="7"/>
  </si>
  <si>
    <t>y</t>
    <phoneticPr fontId="7"/>
  </si>
  <si>
    <t>Tc=25℃：色シフト込み</t>
    <rPh sb="7" eb="8">
      <t>イロ</t>
    </rPh>
    <rPh sb="11" eb="12">
      <t>コ</t>
    </rPh>
    <phoneticPr fontId="7"/>
  </si>
  <si>
    <t>a</t>
    <phoneticPr fontId="7"/>
  </si>
  <si>
    <t>b</t>
    <phoneticPr fontId="7"/>
  </si>
  <si>
    <r>
      <t>仕様書</t>
    </r>
    <r>
      <rPr>
        <sz val="11"/>
        <rFont val="ＭＳ Ｐゴシック"/>
        <family val="3"/>
        <charset val="128"/>
      </rPr>
      <t xml:space="preserve">
電球色(</t>
    </r>
    <r>
      <rPr>
        <sz val="11"/>
        <rFont val="ＭＳ Ｐゴシック"/>
        <family val="3"/>
        <charset val="128"/>
      </rPr>
      <t>L)
2800K</t>
    </r>
    <rPh sb="0" eb="2">
      <t>シヨウ</t>
    </rPh>
    <rPh sb="2" eb="3">
      <t>ショ</t>
    </rPh>
    <rPh sb="4" eb="6">
      <t>デンキュウ</t>
    </rPh>
    <rPh sb="6" eb="7">
      <t>イロ</t>
    </rPh>
    <phoneticPr fontId="7"/>
  </si>
  <si>
    <r>
      <t>昼光色(</t>
    </r>
    <r>
      <rPr>
        <sz val="11"/>
        <rFont val="ＭＳ Ｐゴシック"/>
        <family val="3"/>
        <charset val="128"/>
      </rPr>
      <t>D)</t>
    </r>
    <rPh sb="0" eb="3">
      <t>チュウコウショク</t>
    </rPh>
    <phoneticPr fontId="7"/>
  </si>
  <si>
    <t>c</t>
    <phoneticPr fontId="7"/>
  </si>
  <si>
    <t>d</t>
    <phoneticPr fontId="7"/>
  </si>
  <si>
    <t>色度範囲右上シフト</t>
    <rPh sb="0" eb="1">
      <t>シキ</t>
    </rPh>
    <rPh sb="1" eb="2">
      <t>ド</t>
    </rPh>
    <rPh sb="2" eb="4">
      <t>ハンイ</t>
    </rPh>
    <rPh sb="4" eb="6">
      <t>ミギウエ</t>
    </rPh>
    <phoneticPr fontId="7"/>
  </si>
  <si>
    <t>中心</t>
    <rPh sb="0" eb="2">
      <t>チュウシン</t>
    </rPh>
    <phoneticPr fontId="7"/>
  </si>
  <si>
    <t>01(DE)</t>
    <phoneticPr fontId="7"/>
  </si>
  <si>
    <t>02(D)</t>
    <phoneticPr fontId="7"/>
  </si>
  <si>
    <t>　＊上記、01を除いた部分</t>
    <rPh sb="2" eb="4">
      <t>ジョウキ</t>
    </rPh>
    <rPh sb="8" eb="9">
      <t>ノゾ</t>
    </rPh>
    <rPh sb="11" eb="13">
      <t>ブブン</t>
    </rPh>
    <phoneticPr fontId="7"/>
  </si>
  <si>
    <t>03(E)</t>
    <phoneticPr fontId="7"/>
  </si>
  <si>
    <t>公差込み</t>
    <rPh sb="0" eb="2">
      <t>コウサ</t>
    </rPh>
    <rPh sb="2" eb="3">
      <t>コ</t>
    </rPh>
    <phoneticPr fontId="7"/>
  </si>
  <si>
    <t>6500K(3SDCM)</t>
    <phoneticPr fontId="7"/>
  </si>
  <si>
    <t>5000K(2SDCM)</t>
    <phoneticPr fontId="7"/>
  </si>
  <si>
    <t>4000K(2SDCM)</t>
    <phoneticPr fontId="7"/>
  </si>
  <si>
    <t>6500K(5SDCM)</t>
    <phoneticPr fontId="7"/>
  </si>
  <si>
    <t>6500K(5SDCM)</t>
  </si>
  <si>
    <t>中心x</t>
    <rPh sb="0" eb="2">
      <t>チュウシン</t>
    </rPh>
    <phoneticPr fontId="7"/>
  </si>
  <si>
    <t>中心y</t>
    <rPh sb="0" eb="2">
      <t>チュウシン</t>
    </rPh>
    <phoneticPr fontId="7"/>
  </si>
  <si>
    <t>楕円θ°</t>
    <rPh sb="0" eb="2">
      <t>ダエン</t>
    </rPh>
    <phoneticPr fontId="7"/>
  </si>
  <si>
    <t>長軸a</t>
    <rPh sb="0" eb="2">
      <t>チョウジク</t>
    </rPh>
    <phoneticPr fontId="7"/>
  </si>
  <si>
    <t>短軸b</t>
    <rPh sb="0" eb="2">
      <t>タンジク</t>
    </rPh>
    <phoneticPr fontId="7"/>
  </si>
  <si>
    <t>時計回りθ°</t>
  </si>
  <si>
    <t>aの2倍</t>
  </si>
  <si>
    <t>bの2倍</t>
  </si>
  <si>
    <t>楕円x</t>
    <rPh sb="0" eb="2">
      <t>ダエン</t>
    </rPh>
    <phoneticPr fontId="7"/>
  </si>
  <si>
    <t>楕円y</t>
    <rPh sb="0" eb="2">
      <t>ダエン</t>
    </rPh>
    <phoneticPr fontId="7"/>
  </si>
  <si>
    <t>5000K</t>
    <phoneticPr fontId="7"/>
  </si>
  <si>
    <t>R9補正</t>
    <rPh sb="2" eb="4">
      <t>ホセイ</t>
    </rPh>
    <phoneticPr fontId="7"/>
  </si>
  <si>
    <t>IF(x)-VF%(y)</t>
  </si>
  <si>
    <t>IF(x)-lm%(y)</t>
  </si>
  <si>
    <t>lm%(x)-IF(y)</t>
  </si>
  <si>
    <t>Tc(x)-VF%(y)</t>
  </si>
  <si>
    <t>Tc(x)-lm%(y)</t>
  </si>
  <si>
    <t>PKG</t>
    <phoneticPr fontId="7"/>
  </si>
  <si>
    <t>CLU7A2</t>
    <phoneticPr fontId="7"/>
  </si>
  <si>
    <t>CLU702</t>
    <phoneticPr fontId="7"/>
  </si>
  <si>
    <t>CLU712</t>
    <phoneticPr fontId="7"/>
  </si>
  <si>
    <t>CLU7B2</t>
    <phoneticPr fontId="7"/>
  </si>
  <si>
    <t>HI-ver.3の係数適用</t>
    <rPh sb="9" eb="11">
      <t>ケイスウ</t>
    </rPh>
    <rPh sb="11" eb="13">
      <t>テキヨウ</t>
    </rPh>
    <phoneticPr fontId="7"/>
  </si>
  <si>
    <t>3500K,80Min</t>
    <phoneticPr fontId="7"/>
  </si>
  <si>
    <t>353M2R1</t>
    <phoneticPr fontId="7"/>
  </si>
  <si>
    <t>3500K,90Min On BBL</t>
    <phoneticPr fontId="7"/>
  </si>
  <si>
    <t>353H5R2</t>
    <phoneticPr fontId="7"/>
  </si>
  <si>
    <t>3500K</t>
    <phoneticPr fontId="7"/>
  </si>
  <si>
    <t>CLU7A2-0403C9</t>
    <phoneticPr fontId="54"/>
  </si>
  <si>
    <r>
      <t>1201C9</t>
    </r>
    <r>
      <rPr>
        <sz val="11"/>
        <color rgb="FFFF0000"/>
        <rFont val="メイリオ"/>
        <family val="3"/>
        <charset val="128"/>
      </rPr>
      <t>/0403C9</t>
    </r>
    <phoneticPr fontId="54"/>
  </si>
  <si>
    <t>CLU7A2-0403C9</t>
    <phoneticPr fontId="7"/>
  </si>
  <si>
    <t>1001C9</t>
    <phoneticPr fontId="7"/>
  </si>
  <si>
    <t>CLU7A2-1001C9</t>
    <phoneticPr fontId="7"/>
  </si>
  <si>
    <t>-</t>
  </si>
  <si>
    <t>元々のディレーティング</t>
    <rPh sb="0" eb="2">
      <t>モトモト</t>
    </rPh>
    <phoneticPr fontId="7"/>
  </si>
  <si>
    <t>IF[mA]</t>
    <phoneticPr fontId="7"/>
  </si>
  <si>
    <t>IF[mA]</t>
    <phoneticPr fontId="54"/>
  </si>
  <si>
    <t>Tc[℃]</t>
    <phoneticPr fontId="7"/>
  </si>
  <si>
    <t>IF[mA]</t>
    <phoneticPr fontId="7"/>
  </si>
  <si>
    <t>Tc[℃]</t>
    <phoneticPr fontId="54"/>
  </si>
  <si>
    <t>IF[mA]</t>
    <phoneticPr fontId="54"/>
  </si>
  <si>
    <t>Tc[℃]</t>
    <phoneticPr fontId="7"/>
  </si>
  <si>
    <t>IF[mA]</t>
    <phoneticPr fontId="7"/>
  </si>
  <si>
    <t>Tc[℃]</t>
    <phoneticPr fontId="54"/>
  </si>
  <si>
    <t>IF[mA]</t>
    <phoneticPr fontId="54"/>
  </si>
  <si>
    <t>Tc[℃]</t>
    <phoneticPr fontId="7"/>
  </si>
  <si>
    <t>IF[mA]</t>
    <phoneticPr fontId="7"/>
  </si>
  <si>
    <t>Tc[℃]</t>
    <phoneticPr fontId="54"/>
  </si>
  <si>
    <t>IF[mA]</t>
    <phoneticPr fontId="54"/>
  </si>
  <si>
    <t>φ280um</t>
    <phoneticPr fontId="7"/>
  </si>
  <si>
    <t>Tj=140℃</t>
    <phoneticPr fontId="7"/>
  </si>
  <si>
    <t>Tc(℃)</t>
    <phoneticPr fontId="7"/>
  </si>
  <si>
    <t>IF(mA)</t>
    <phoneticPr fontId="7"/>
  </si>
  <si>
    <t>φ310um</t>
    <phoneticPr fontId="7"/>
  </si>
  <si>
    <t>CLU7B2-0701C4</t>
    <phoneticPr fontId="7"/>
  </si>
  <si>
    <t>CLU7A2-1201C9</t>
    <phoneticPr fontId="7"/>
  </si>
  <si>
    <t>CLU702-1202C9</t>
    <phoneticPr fontId="7"/>
  </si>
  <si>
    <t>CLU712-1204C9</t>
    <phoneticPr fontId="7"/>
  </si>
  <si>
    <t>Tc[℃]</t>
    <phoneticPr fontId="7"/>
  </si>
  <si>
    <t>IF[mA]</t>
    <phoneticPr fontId="7"/>
  </si>
  <si>
    <t>Tc[℃]</t>
    <phoneticPr fontId="54"/>
  </si>
  <si>
    <t>IF[mA]</t>
    <phoneticPr fontId="54"/>
  </si>
  <si>
    <t>φ280mm</t>
    <phoneticPr fontId="7"/>
  </si>
  <si>
    <t>φ310mm</t>
    <phoneticPr fontId="7"/>
  </si>
  <si>
    <t>Rjc(℃/W)</t>
    <phoneticPr fontId="7"/>
  </si>
  <si>
    <t>限界値</t>
    <rPh sb="0" eb="2">
      <t>ゲンカイ</t>
    </rPh>
    <rPh sb="2" eb="3">
      <t>アタイ</t>
    </rPh>
    <phoneticPr fontId="7"/>
  </si>
  <si>
    <t>CLU712-4801C9</t>
    <phoneticPr fontId="7"/>
  </si>
  <si>
    <t>4801C9</t>
    <phoneticPr fontId="7"/>
  </si>
  <si>
    <t>CLU7A2</t>
  </si>
  <si>
    <t>Φ4.2</t>
  </si>
  <si>
    <t>CLU712</t>
  </si>
  <si>
    <t>Φ8.5</t>
  </si>
  <si>
    <t>CLU7A2-0403C9</t>
    <phoneticPr fontId="54"/>
  </si>
  <si>
    <t>Φv(lm)</t>
  </si>
  <si>
    <t>*CLU7A2-1201C9流用</t>
    <rPh sb="14" eb="16">
      <t>リュウヨウ</t>
    </rPh>
    <phoneticPr fontId="7"/>
  </si>
  <si>
    <t>CLU702-1202C9</t>
    <phoneticPr fontId="54"/>
  </si>
  <si>
    <t>CLU7A2-1201C9</t>
    <phoneticPr fontId="54"/>
  </si>
  <si>
    <t>3500K</t>
    <phoneticPr fontId="54"/>
  </si>
  <si>
    <t>90
below</t>
    <phoneticPr fontId="7"/>
  </si>
  <si>
    <t>4000K</t>
    <phoneticPr fontId="54"/>
  </si>
  <si>
    <t>CLU7A2-1001C9</t>
    <phoneticPr fontId="54"/>
  </si>
  <si>
    <t>CLU712-1204C9</t>
    <phoneticPr fontId="54"/>
  </si>
  <si>
    <t>VF(V)</t>
  </si>
  <si>
    <t>n</t>
  </si>
  <si>
    <t>n</t>
    <phoneticPr fontId="7"/>
  </si>
  <si>
    <t>大口サンプル</t>
    <rPh sb="0" eb="2">
      <t>オオグチ</t>
    </rPh>
    <phoneticPr fontId="7"/>
  </si>
  <si>
    <t>φ310mm</t>
    <phoneticPr fontId="7"/>
  </si>
  <si>
    <t>CLU7A2-0403C9</t>
    <phoneticPr fontId="7"/>
  </si>
  <si>
    <t>03</t>
    <phoneticPr fontId="7"/>
  </si>
  <si>
    <t>3500K</t>
  </si>
  <si>
    <t>3500K</t>
    <phoneticPr fontId="7"/>
  </si>
  <si>
    <t>3500K</t>
    <phoneticPr fontId="7"/>
  </si>
  <si>
    <t>2019.9.17 12.1V→11.9Vへ変更(営業指摘)</t>
    <rPh sb="22" eb="24">
      <t>ヘンコウ</t>
    </rPh>
    <rPh sb="25" eb="27">
      <t>エイギョウ</t>
    </rPh>
    <rPh sb="27" eb="29">
      <t>シテキ</t>
    </rPh>
    <phoneticPr fontId="7"/>
  </si>
  <si>
    <t>5000K</t>
  </si>
  <si>
    <t>5000K</t>
    <phoneticPr fontId="7"/>
  </si>
  <si>
    <t>2400K</t>
  </si>
  <si>
    <t>2400K</t>
    <phoneticPr fontId="7"/>
  </si>
  <si>
    <t>CLU7A2-1201C9,CLU702-1202C9,CLU712-1204C9,CLU7A2-1001C9,CLU7A2-0403C9</t>
    <phoneticPr fontId="7"/>
  </si>
  <si>
    <t>3500K,97Typ</t>
    <phoneticPr fontId="7"/>
  </si>
  <si>
    <t>353H7R4</t>
    <phoneticPr fontId="7"/>
  </si>
  <si>
    <t>3500K</t>
    <phoneticPr fontId="7"/>
  </si>
  <si>
    <t>3500K</t>
    <phoneticPr fontId="7"/>
  </si>
  <si>
    <t>3500K</t>
    <phoneticPr fontId="7"/>
  </si>
  <si>
    <t>3500K</t>
    <phoneticPr fontId="7"/>
  </si>
  <si>
    <t>Ver6.0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</si>
</sst>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176" formatCode="#&quot;℃&quot;"/>
    <numFmt numFmtId="177" formatCode="0.0%"/>
    <numFmt numFmtId="178" formatCode="0.0"/>
    <numFmt numFmtId="179" formatCode="0.0000"/>
    <numFmt numFmtId="180" formatCode="0.000"/>
    <numFmt numFmtId="181" formatCode="0.000%"/>
    <numFmt numFmtId="182" formatCode="0.0_ "/>
    <numFmt numFmtId="183" formatCode="0.0_);[Red]\(0.0\)"/>
    <numFmt numFmtId="184" formatCode="0_ "/>
    <numFmt numFmtId="185" formatCode="0_);[Red]\(0\)"/>
    <numFmt numFmtId="186" formatCode="0.0000E+00"/>
    <numFmt numFmtId="187" formatCode="0.0000.E+00"/>
    <numFmt numFmtId="188" formatCode="0_ ;[Red]\-0\ "/>
    <numFmt numFmtId="189" formatCode="0.000000"/>
    <numFmt numFmtId="190" formatCode="0.00_);[Red]\(0.00\)"/>
    <numFmt numFmtId="191" formatCode="0.000_ "/>
    <numFmt numFmtId="192" formatCode="0.00000000"/>
    <numFmt numFmtId="193" formatCode="0.00000E+00"/>
    <numFmt numFmtId="194" formatCode="#&quot;mA&quot;"/>
    <numFmt numFmtId="195" formatCode="0.0000_ "/>
    <numFmt numFmtId="196" formatCode="0.00_ "/>
    <numFmt numFmtId="197" formatCode="0.00000"/>
    <numFmt numFmtId="198" formatCode="0.0000000E+00"/>
    <numFmt numFmtId="199" formatCode="0.00000%"/>
    <numFmt numFmtId="200" formatCode="0.0000_);[Red]\(0.0000\)"/>
  </numFmts>
  <fonts count="94">
    <font>
      <sz val="11"/>
      <name val="ＭＳ Ｐゴシック"/>
      <charset val="128"/>
    </font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"/>
      <family val="2"/>
    </font>
    <font>
      <b/>
      <sz val="10"/>
      <color theme="0"/>
      <name val="メイリオ"/>
      <family val="3"/>
      <charset val="128"/>
    </font>
    <font>
      <sz val="6"/>
      <name val="Arial"/>
      <family val="2"/>
      <charset val="128"/>
    </font>
    <font>
      <sz val="9"/>
      <name val="メイリオ"/>
      <family val="3"/>
      <charset val="128"/>
    </font>
    <font>
      <sz val="9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b/>
      <vertAlign val="superscript"/>
      <sz val="10"/>
      <name val="メイリオ"/>
      <family val="3"/>
      <charset val="128"/>
    </font>
    <font>
      <b/>
      <i/>
      <sz val="10"/>
      <name val="メイリオ"/>
      <family val="3"/>
      <charset val="128"/>
    </font>
    <font>
      <strike/>
      <sz val="10"/>
      <name val="メイリオ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rgb="FFFF0000"/>
      <name val="Arial"/>
      <family val="2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0"/>
      <color theme="0" tint="-0.499984740745262"/>
      <name val="Arial"/>
      <family val="2"/>
    </font>
    <font>
      <b/>
      <sz val="10"/>
      <color rgb="FFFF0000"/>
      <name val="Arial"/>
      <family val="2"/>
    </font>
    <font>
      <b/>
      <sz val="6"/>
      <name val="Arial"/>
      <family val="2"/>
    </font>
    <font>
      <sz val="9"/>
      <name val="ＭＳ Ｐゴシック"/>
      <family val="3"/>
      <charset val="128"/>
    </font>
    <font>
      <sz val="10"/>
      <color rgb="FFFF0000"/>
      <name val="メイリオ"/>
      <family val="3"/>
      <charset val="128"/>
    </font>
    <font>
      <sz val="11"/>
      <color theme="0"/>
      <name val="Arial"/>
      <family val="2"/>
    </font>
    <font>
      <b/>
      <sz val="9"/>
      <color theme="1"/>
      <name val="メイリオ"/>
      <family val="3"/>
      <charset val="128"/>
    </font>
    <font>
      <sz val="6"/>
      <name val="メイリオ"/>
      <family val="2"/>
      <charset val="128"/>
    </font>
    <font>
      <sz val="11"/>
      <name val="Meiryo UI"/>
      <family val="3"/>
      <charset val="128"/>
    </font>
    <font>
      <sz val="11"/>
      <color rgb="FFFF0000"/>
      <name val="メイリオ"/>
      <family val="2"/>
      <charset val="128"/>
    </font>
    <font>
      <sz val="11"/>
      <color theme="0" tint="-0.249977111117893"/>
      <name val="メイリオ"/>
      <family val="2"/>
      <charset val="128"/>
    </font>
    <font>
      <b/>
      <sz val="10"/>
      <color rgb="FFFF0000"/>
      <name val="メイリオ"/>
      <family val="3"/>
      <charset val="128"/>
    </font>
    <font>
      <sz val="10"/>
      <name val="MingLiU"/>
      <family val="3"/>
      <charset val="136"/>
    </font>
    <font>
      <b/>
      <sz val="12"/>
      <color rgb="FFFF0000"/>
      <name val="メイリオ"/>
      <family val="3"/>
      <charset val="128"/>
    </font>
    <font>
      <sz val="11"/>
      <color rgb="FFFF0000"/>
      <name val="Meiryo UI"/>
      <family val="3"/>
      <charset val="128"/>
    </font>
    <font>
      <sz val="14"/>
      <color rgb="FFFF0000"/>
      <name val="メイリオ"/>
      <family val="2"/>
      <charset val="128"/>
    </font>
    <font>
      <sz val="11"/>
      <name val="メイリオ"/>
      <family val="2"/>
      <charset val="128"/>
    </font>
    <font>
      <sz val="11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rgb="FF0070C0"/>
      <name val="Meiryo UI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55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1"/>
      <color indexed="17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1"/>
      <color indexed="12"/>
      <name val="ＭＳ ゴシック"/>
      <family val="3"/>
      <charset val="128"/>
    </font>
    <font>
      <sz val="10"/>
      <name val="Times New Roman"/>
      <family val="1"/>
    </font>
    <font>
      <b/>
      <sz val="10"/>
      <color indexed="9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indexed="9"/>
      <name val="Times New Roman"/>
      <family val="1"/>
    </font>
    <font>
      <sz val="9"/>
      <color indexed="9"/>
      <name val="ＭＳ Ｐゴシック"/>
      <family val="3"/>
      <charset val="128"/>
    </font>
    <font>
      <sz val="9"/>
      <color indexed="9"/>
      <name val="ＭＳ Ｐ明朝"/>
      <family val="1"/>
      <charset val="128"/>
    </font>
    <font>
      <sz val="11"/>
      <color indexed="4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9"/>
      <name val="ＭＳ Ｐ明朝"/>
      <family val="1"/>
      <charset val="128"/>
    </font>
    <font>
      <sz val="8"/>
      <color indexed="23"/>
      <name val="ＭＳ Ｐゴシック"/>
      <family val="3"/>
      <charset val="128"/>
    </font>
    <font>
      <sz val="9"/>
      <color indexed="23"/>
      <name val="ＭＳ Ｐゴシック"/>
      <family val="3"/>
      <charset val="128"/>
    </font>
    <font>
      <sz val="11"/>
      <name val="メイリオ"/>
      <family val="3"/>
      <charset val="128"/>
    </font>
    <font>
      <b/>
      <sz val="1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9"/>
      <color rgb="FFFF0000"/>
      <name val="メイリオ"/>
      <family val="3"/>
      <charset val="128"/>
    </font>
    <font>
      <u/>
      <sz val="11"/>
      <color rgb="FFFF0000"/>
      <name val="Meiryo UI"/>
      <family val="3"/>
      <charset val="128"/>
    </font>
    <font>
      <sz val="9"/>
      <color indexed="10"/>
      <name val="Meiryo UI"/>
      <family val="3"/>
      <charset val="128"/>
    </font>
    <font>
      <sz val="11"/>
      <color rgb="FF0000CC"/>
      <name val="メイリオ"/>
      <family val="2"/>
      <charset val="128"/>
    </font>
    <font>
      <sz val="11"/>
      <color rgb="FF0000CC"/>
      <name val="メイリオ"/>
      <family val="3"/>
      <charset val="128"/>
    </font>
  </fonts>
  <fills count="6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</fills>
  <borders count="1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/>
      <right style="medium">
        <color theme="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/>
      <bottom/>
      <diagonal/>
    </border>
    <border>
      <left style="medium">
        <color indexed="64"/>
      </left>
      <right style="medium">
        <color rgb="FF0000FF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7">
    <xf numFmtId="0" fontId="0" fillId="0" borderId="0"/>
    <xf numFmtId="9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6" fillId="0" borderId="0"/>
    <xf numFmtId="0" fontId="5" fillId="0" borderId="0">
      <alignment vertical="center"/>
    </xf>
    <xf numFmtId="0" fontId="6" fillId="0" borderId="0"/>
    <xf numFmtId="9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5" borderId="29" applyNumberFormat="0" applyAlignment="0" applyProtection="0">
      <alignment vertical="center"/>
    </xf>
    <xf numFmtId="0" fontId="27" fillId="36" borderId="3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5" fillId="0" borderId="32" applyNumberFormat="0" applyFill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2" borderId="29" applyNumberFormat="0" applyAlignment="0" applyProtection="0">
      <alignment vertical="center"/>
    </xf>
    <xf numFmtId="0" fontId="38" fillId="0" borderId="34" applyNumberFormat="0" applyFill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6" fillId="38" borderId="35" applyNumberFormat="0" applyFont="0" applyAlignment="0" applyProtection="0">
      <alignment vertical="center"/>
    </xf>
    <xf numFmtId="0" fontId="40" fillId="35" borderId="36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3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9" fillId="0" borderId="0"/>
    <xf numFmtId="0" fontId="6" fillId="0" borderId="0"/>
  </cellStyleXfs>
  <cellXfs count="913">
    <xf numFmtId="0" fontId="0" fillId="0" borderId="0" xfId="0"/>
    <xf numFmtId="0" fontId="9" fillId="2" borderId="0" xfId="0" applyFont="1" applyFill="1"/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Border="1" applyAlignment="1" applyProtection="1">
      <alignment vertical="center"/>
      <protection locked="0"/>
    </xf>
    <xf numFmtId="176" fontId="8" fillId="2" borderId="0" xfId="0" applyNumberFormat="1" applyFont="1" applyFill="1" applyBorder="1" applyAlignment="1" applyProtection="1">
      <alignment vertical="center"/>
      <protection locked="0"/>
    </xf>
    <xf numFmtId="0" fontId="12" fillId="2" borderId="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vertical="center"/>
      <protection locked="0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/>
    <xf numFmtId="0" fontId="8" fillId="4" borderId="1" xfId="0" applyFont="1" applyFill="1" applyBorder="1" applyAlignment="1" applyProtection="1">
      <alignment horizontal="center" vertical="center"/>
      <protection hidden="1"/>
    </xf>
    <xf numFmtId="0" fontId="8" fillId="4" borderId="3" xfId="0" applyFont="1" applyFill="1" applyBorder="1" applyAlignment="1" applyProtection="1">
      <alignment horizontal="center" vertical="center"/>
      <protection hidden="1"/>
    </xf>
    <xf numFmtId="0" fontId="8" fillId="4" borderId="4" xfId="0" applyFont="1" applyFill="1" applyBorder="1" applyAlignment="1" applyProtection="1">
      <alignment horizontal="center" vertical="center"/>
      <protection hidden="1"/>
    </xf>
    <xf numFmtId="0" fontId="8" fillId="4" borderId="5" xfId="0" applyFont="1" applyFill="1" applyBorder="1" applyAlignment="1" applyProtection="1">
      <alignment horizontal="center" vertical="center"/>
      <protection hidden="1"/>
    </xf>
    <xf numFmtId="0" fontId="8" fillId="4" borderId="6" xfId="0" applyFont="1" applyFill="1" applyBorder="1" applyAlignment="1" applyProtection="1">
      <alignment horizontal="center" vertical="center"/>
      <protection hidden="1"/>
    </xf>
    <xf numFmtId="0" fontId="8" fillId="4" borderId="7" xfId="0" applyFont="1" applyFill="1" applyBorder="1" applyAlignment="1" applyProtection="1">
      <alignment horizontal="center" vertical="center"/>
      <protection hidden="1"/>
    </xf>
    <xf numFmtId="0" fontId="14" fillId="2" borderId="0" xfId="0" applyFont="1" applyFill="1" applyAlignment="1"/>
    <xf numFmtId="0" fontId="11" fillId="2" borderId="0" xfId="0" applyFont="1" applyFill="1" applyAlignment="1">
      <alignment horizontal="right"/>
    </xf>
    <xf numFmtId="0" fontId="8" fillId="3" borderId="8" xfId="0" applyFont="1" applyFill="1" applyBorder="1" applyAlignment="1" applyProtection="1">
      <alignment horizontal="left" vertical="center"/>
      <protection hidden="1"/>
    </xf>
    <xf numFmtId="0" fontId="9" fillId="9" borderId="0" xfId="0" applyFont="1" applyFill="1" applyBorder="1" applyProtection="1">
      <protection hidden="1"/>
    </xf>
    <xf numFmtId="0" fontId="9" fillId="9" borderId="0" xfId="0" applyFont="1" applyFill="1"/>
    <xf numFmtId="0" fontId="9" fillId="9" borderId="0" xfId="0" applyFont="1" applyFill="1" applyAlignment="1">
      <alignment vertical="center"/>
    </xf>
    <xf numFmtId="0" fontId="9" fillId="9" borderId="0" xfId="0" applyFont="1" applyFill="1" applyAlignment="1">
      <alignment horizontal="left"/>
    </xf>
    <xf numFmtId="0" fontId="9" fillId="2" borderId="27" xfId="0" applyFont="1" applyFill="1" applyBorder="1" applyAlignment="1" applyProtection="1">
      <alignment vertical="center"/>
      <protection locked="0"/>
    </xf>
    <xf numFmtId="0" fontId="12" fillId="2" borderId="0" xfId="0" applyFont="1" applyFill="1" applyAlignment="1">
      <alignment horizontal="right"/>
    </xf>
    <xf numFmtId="0" fontId="18" fillId="0" borderId="0" xfId="8" applyFont="1">
      <alignment vertical="center"/>
    </xf>
    <xf numFmtId="0" fontId="18" fillId="0" borderId="0" xfId="8" applyFont="1" applyAlignment="1">
      <alignment horizontal="center" vertical="center"/>
    </xf>
    <xf numFmtId="178" fontId="18" fillId="0" borderId="0" xfId="8" applyNumberFormat="1" applyFont="1">
      <alignment vertical="center"/>
    </xf>
    <xf numFmtId="177" fontId="18" fillId="0" borderId="0" xfId="9" applyNumberFormat="1" applyFont="1">
      <alignment vertical="center"/>
    </xf>
    <xf numFmtId="2" fontId="18" fillId="0" borderId="0" xfId="8" applyNumberFormat="1" applyFont="1">
      <alignment vertical="center"/>
    </xf>
    <xf numFmtId="180" fontId="18" fillId="0" borderId="0" xfId="8" applyNumberFormat="1" applyFont="1">
      <alignment vertical="center"/>
    </xf>
    <xf numFmtId="0" fontId="15" fillId="13" borderId="0" xfId="3" applyFont="1" applyFill="1" applyAlignment="1">
      <alignment vertical="center"/>
    </xf>
    <xf numFmtId="0" fontId="15" fillId="13" borderId="0" xfId="3" quotePrefix="1" applyFont="1" applyFill="1" applyAlignment="1">
      <alignment horizontal="right" vertical="center"/>
    </xf>
    <xf numFmtId="177" fontId="15" fillId="13" borderId="0" xfId="1" applyNumberFormat="1" applyFont="1" applyFill="1" applyAlignment="1">
      <alignment vertical="center"/>
    </xf>
    <xf numFmtId="186" fontId="22" fillId="15" borderId="0" xfId="0" applyNumberFormat="1" applyFont="1" applyFill="1" applyBorder="1" applyAlignment="1">
      <alignment vertical="center"/>
    </xf>
    <xf numFmtId="186" fontId="22" fillId="9" borderId="0" xfId="0" applyNumberFormat="1" applyFont="1" applyFill="1" applyBorder="1" applyAlignment="1">
      <alignment vertical="center"/>
    </xf>
    <xf numFmtId="0" fontId="22" fillId="9" borderId="0" xfId="0" applyFont="1" applyFill="1" applyBorder="1" applyAlignment="1" applyProtection="1">
      <alignment horizontal="center" vertical="center" wrapText="1"/>
      <protection hidden="1"/>
    </xf>
    <xf numFmtId="0" fontId="22" fillId="9" borderId="0" xfId="0" applyFont="1" applyFill="1" applyBorder="1" applyAlignment="1" applyProtection="1">
      <alignment vertical="center"/>
      <protection hidden="1"/>
    </xf>
    <xf numFmtId="0" fontId="22" fillId="9" borderId="0" xfId="0" applyFont="1" applyFill="1" applyBorder="1" applyAlignment="1">
      <alignment vertical="center"/>
    </xf>
    <xf numFmtId="0" fontId="22" fillId="9" borderId="0" xfId="0" applyFont="1" applyFill="1" applyBorder="1" applyAlignment="1" applyProtection="1">
      <alignment vertical="center" shrinkToFit="1"/>
      <protection hidden="1"/>
    </xf>
    <xf numFmtId="0" fontId="22" fillId="15" borderId="0" xfId="0" applyFont="1" applyFill="1" applyBorder="1" applyAlignment="1" applyProtection="1">
      <alignment vertical="center"/>
      <protection hidden="1"/>
    </xf>
    <xf numFmtId="0" fontId="22" fillId="15" borderId="0" xfId="0" applyFont="1" applyFill="1" applyBorder="1" applyAlignment="1">
      <alignment vertical="center"/>
    </xf>
    <xf numFmtId="177" fontId="22" fillId="9" borderId="0" xfId="1" applyNumberFormat="1" applyFont="1" applyFill="1" applyBorder="1" applyAlignment="1">
      <alignment vertical="center"/>
    </xf>
    <xf numFmtId="0" fontId="21" fillId="9" borderId="0" xfId="0" applyFont="1" applyFill="1" applyBorder="1" applyAlignment="1" applyProtection="1">
      <alignment vertical="center"/>
      <protection hidden="1"/>
    </xf>
    <xf numFmtId="0" fontId="22" fillId="9" borderId="0" xfId="0" applyFont="1" applyFill="1" applyBorder="1" applyAlignment="1" applyProtection="1">
      <alignment vertical="center" wrapText="1"/>
      <protection hidden="1"/>
    </xf>
    <xf numFmtId="0" fontId="22" fillId="11" borderId="26" xfId="0" applyFont="1" applyFill="1" applyBorder="1" applyAlignment="1" applyProtection="1">
      <alignment vertical="center"/>
      <protection hidden="1"/>
    </xf>
    <xf numFmtId="0" fontId="22" fillId="10" borderId="26" xfId="0" applyFont="1" applyFill="1" applyBorder="1" applyAlignment="1" applyProtection="1">
      <alignment vertical="center"/>
      <protection hidden="1"/>
    </xf>
    <xf numFmtId="1" fontId="22" fillId="9" borderId="26" xfId="0" applyNumberFormat="1" applyFont="1" applyFill="1" applyBorder="1" applyAlignment="1" applyProtection="1">
      <alignment vertical="center"/>
      <protection hidden="1"/>
    </xf>
    <xf numFmtId="178" fontId="22" fillId="9" borderId="26" xfId="0" applyNumberFormat="1" applyFont="1" applyFill="1" applyBorder="1" applyAlignment="1" applyProtection="1">
      <alignment vertical="center"/>
      <protection hidden="1"/>
    </xf>
    <xf numFmtId="0" fontId="22" fillId="12" borderId="26" xfId="0" applyFont="1" applyFill="1" applyBorder="1" applyAlignment="1" applyProtection="1">
      <alignment horizontal="center" vertical="center"/>
      <protection hidden="1"/>
    </xf>
    <xf numFmtId="177" fontId="22" fillId="9" borderId="0" xfId="1" applyNumberFormat="1" applyFont="1" applyFill="1" applyBorder="1" applyAlignment="1" applyProtection="1">
      <alignment vertical="center"/>
      <protection hidden="1"/>
    </xf>
    <xf numFmtId="1" fontId="22" fillId="14" borderId="26" xfId="0" applyNumberFormat="1" applyFont="1" applyFill="1" applyBorder="1" applyAlignment="1" applyProtection="1">
      <alignment horizontal="center" vertical="center"/>
      <protection hidden="1"/>
    </xf>
    <xf numFmtId="1" fontId="22" fillId="9" borderId="26" xfId="0" applyNumberFormat="1" applyFont="1" applyFill="1" applyBorder="1" applyAlignment="1" applyProtection="1">
      <alignment horizontal="center" vertical="center"/>
      <protection hidden="1"/>
    </xf>
    <xf numFmtId="185" fontId="22" fillId="14" borderId="26" xfId="0" applyNumberFormat="1" applyFont="1" applyFill="1" applyBorder="1" applyAlignment="1">
      <alignment horizontal="center" vertical="center"/>
    </xf>
    <xf numFmtId="177" fontId="21" fillId="9" borderId="0" xfId="1" applyNumberFormat="1" applyFont="1" applyFill="1" applyBorder="1" applyAlignment="1">
      <alignment vertical="center"/>
    </xf>
    <xf numFmtId="0" fontId="21" fillId="9" borderId="0" xfId="0" applyFont="1" applyFill="1" applyBorder="1" applyAlignment="1">
      <alignment vertical="center"/>
    </xf>
    <xf numFmtId="184" fontId="22" fillId="14" borderId="26" xfId="0" applyNumberFormat="1" applyFont="1" applyFill="1" applyBorder="1" applyAlignment="1">
      <alignment horizontal="center" vertical="center"/>
    </xf>
    <xf numFmtId="0" fontId="22" fillId="9" borderId="0" xfId="0" applyFont="1" applyFill="1" applyBorder="1" applyAlignment="1">
      <alignment horizontal="center" vertical="center"/>
    </xf>
    <xf numFmtId="0" fontId="22" fillId="9" borderId="0" xfId="0" applyFont="1" applyFill="1" applyBorder="1" applyAlignment="1" applyProtection="1">
      <alignment horizontal="center" vertical="center"/>
      <protection hidden="1"/>
    </xf>
    <xf numFmtId="9" fontId="22" fillId="9" borderId="0" xfId="1" applyFont="1" applyFill="1" applyBorder="1" applyAlignment="1" applyProtection="1">
      <alignment horizontal="center" vertical="center"/>
      <protection hidden="1"/>
    </xf>
    <xf numFmtId="9" fontId="22" fillId="9" borderId="0" xfId="0" applyNumberFormat="1" applyFont="1" applyFill="1" applyBorder="1" applyAlignment="1" applyProtection="1">
      <alignment horizontal="center" vertical="center"/>
      <protection hidden="1"/>
    </xf>
    <xf numFmtId="9" fontId="22" fillId="9" borderId="0" xfId="0" applyNumberFormat="1" applyFont="1" applyFill="1" applyBorder="1" applyAlignment="1">
      <alignment horizontal="center" vertical="center"/>
    </xf>
    <xf numFmtId="2" fontId="22" fillId="15" borderId="0" xfId="0" applyNumberFormat="1" applyFont="1" applyFill="1" applyBorder="1" applyAlignment="1" applyProtection="1">
      <alignment vertical="center"/>
      <protection hidden="1"/>
    </xf>
    <xf numFmtId="179" fontId="22" fillId="9" borderId="0" xfId="0" applyNumberFormat="1" applyFont="1" applyFill="1" applyBorder="1" applyAlignment="1" applyProtection="1">
      <alignment vertical="center"/>
      <protection hidden="1"/>
    </xf>
    <xf numFmtId="9" fontId="22" fillId="9" borderId="0" xfId="0" applyNumberFormat="1" applyFont="1" applyFill="1" applyBorder="1" applyAlignment="1" applyProtection="1">
      <alignment vertical="center"/>
      <protection hidden="1"/>
    </xf>
    <xf numFmtId="182" fontId="21" fillId="9" borderId="0" xfId="0" applyNumberFormat="1" applyFont="1" applyFill="1" applyBorder="1" applyAlignment="1">
      <alignment vertical="center"/>
    </xf>
    <xf numFmtId="38" fontId="24" fillId="9" borderId="0" xfId="0" applyNumberFormat="1" applyFont="1" applyFill="1" applyBorder="1" applyAlignment="1" applyProtection="1">
      <alignment vertical="center"/>
      <protection hidden="1"/>
    </xf>
    <xf numFmtId="178" fontId="22" fillId="9" borderId="0" xfId="0" applyNumberFormat="1" applyFont="1" applyFill="1" applyBorder="1" applyAlignment="1" applyProtection="1">
      <alignment vertical="center"/>
      <protection hidden="1"/>
    </xf>
    <xf numFmtId="0" fontId="22" fillId="9" borderId="0" xfId="0" applyFont="1" applyFill="1" applyBorder="1" applyAlignment="1" applyProtection="1">
      <alignment horizontal="right" vertical="center"/>
      <protection hidden="1"/>
    </xf>
    <xf numFmtId="181" fontId="22" fillId="9" borderId="0" xfId="1" applyNumberFormat="1" applyFont="1" applyFill="1" applyBorder="1" applyAlignment="1" applyProtection="1">
      <alignment vertical="center"/>
      <protection hidden="1"/>
    </xf>
    <xf numFmtId="0" fontId="21" fillId="9" borderId="0" xfId="0" applyFont="1" applyFill="1" applyBorder="1" applyAlignment="1" applyProtection="1">
      <alignment horizontal="center" vertical="center"/>
      <protection hidden="1"/>
    </xf>
    <xf numFmtId="0" fontId="22" fillId="8" borderId="0" xfId="0" applyFont="1" applyFill="1" applyBorder="1" applyAlignment="1" applyProtection="1">
      <alignment horizontal="center" vertical="center"/>
      <protection hidden="1"/>
    </xf>
    <xf numFmtId="0" fontId="21" fillId="9" borderId="0" xfId="0" applyFont="1" applyFill="1" applyBorder="1" applyAlignment="1" applyProtection="1">
      <alignment horizontal="center" vertical="center" shrinkToFit="1"/>
      <protection hidden="1"/>
    </xf>
    <xf numFmtId="1" fontId="22" fillId="9" borderId="0" xfId="0" applyNumberFormat="1" applyFont="1" applyFill="1" applyBorder="1" applyAlignment="1" applyProtection="1">
      <alignment vertical="center"/>
      <protection hidden="1"/>
    </xf>
    <xf numFmtId="182" fontId="22" fillId="9" borderId="0" xfId="1" applyNumberFormat="1" applyFont="1" applyFill="1" applyBorder="1" applyAlignment="1" applyProtection="1">
      <alignment vertical="center"/>
      <protection hidden="1"/>
    </xf>
    <xf numFmtId="187" fontId="22" fillId="9" borderId="0" xfId="0" applyNumberFormat="1" applyFont="1" applyFill="1" applyBorder="1" applyAlignment="1">
      <alignment vertical="center"/>
    </xf>
    <xf numFmtId="179" fontId="25" fillId="9" borderId="0" xfId="0" applyNumberFormat="1" applyFont="1" applyFill="1" applyBorder="1" applyAlignment="1" applyProtection="1">
      <alignment vertical="center"/>
      <protection hidden="1"/>
    </xf>
    <xf numFmtId="9" fontId="25" fillId="9" borderId="0" xfId="0" applyNumberFormat="1" applyFont="1" applyFill="1" applyBorder="1" applyAlignment="1" applyProtection="1">
      <alignment vertical="center"/>
      <protection hidden="1"/>
    </xf>
    <xf numFmtId="178" fontId="25" fillId="9" borderId="0" xfId="0" applyNumberFormat="1" applyFont="1" applyFill="1" applyBorder="1" applyAlignment="1" applyProtection="1">
      <alignment vertical="center"/>
      <protection hidden="1"/>
    </xf>
    <xf numFmtId="177" fontId="21" fillId="9" borderId="0" xfId="1" applyNumberFormat="1" applyFont="1" applyFill="1" applyBorder="1" applyAlignment="1" applyProtection="1">
      <alignment vertical="center"/>
      <protection hidden="1"/>
    </xf>
    <xf numFmtId="177" fontId="22" fillId="9" borderId="0" xfId="0" applyNumberFormat="1" applyFont="1" applyFill="1" applyBorder="1" applyAlignment="1" applyProtection="1">
      <alignment vertical="center"/>
      <protection hidden="1"/>
    </xf>
    <xf numFmtId="0" fontId="24" fillId="9" borderId="0" xfId="0" applyFont="1" applyFill="1" applyBorder="1" applyAlignment="1" applyProtection="1">
      <alignment vertical="center"/>
      <protection hidden="1"/>
    </xf>
    <xf numFmtId="40" fontId="22" fillId="8" borderId="0" xfId="2" applyNumberFormat="1" applyFont="1" applyFill="1" applyBorder="1" applyProtection="1">
      <protection hidden="1"/>
    </xf>
    <xf numFmtId="2" fontId="22" fillId="9" borderId="0" xfId="0" applyNumberFormat="1" applyFont="1" applyFill="1" applyBorder="1" applyAlignment="1" applyProtection="1">
      <alignment vertical="center"/>
      <protection hidden="1"/>
    </xf>
    <xf numFmtId="10" fontId="22" fillId="9" borderId="0" xfId="0" applyNumberFormat="1" applyFont="1" applyFill="1" applyBorder="1" applyAlignment="1" applyProtection="1">
      <alignment vertical="center"/>
      <protection hidden="1"/>
    </xf>
    <xf numFmtId="1" fontId="18" fillId="0" borderId="0" xfId="8" applyNumberFormat="1" applyFont="1">
      <alignment vertical="center"/>
    </xf>
    <xf numFmtId="0" fontId="13" fillId="6" borderId="42" xfId="0" applyFont="1" applyFill="1" applyBorder="1" applyAlignment="1" applyProtection="1">
      <alignment horizontal="center" vertical="center" wrapText="1" shrinkToFit="1"/>
      <protection hidden="1"/>
    </xf>
    <xf numFmtId="0" fontId="13" fillId="6" borderId="43" xfId="0" applyFont="1" applyFill="1" applyBorder="1" applyAlignment="1" applyProtection="1">
      <alignment horizontal="center" vertical="center" wrapText="1" shrinkToFit="1"/>
      <protection hidden="1"/>
    </xf>
    <xf numFmtId="0" fontId="13" fillId="6" borderId="20" xfId="0" applyFont="1" applyFill="1" applyBorder="1" applyAlignment="1" applyProtection="1">
      <alignment horizontal="center" vertical="center" wrapText="1"/>
      <protection hidden="1"/>
    </xf>
    <xf numFmtId="0" fontId="13" fillId="6" borderId="44" xfId="0" applyFont="1" applyFill="1" applyBorder="1" applyAlignment="1" applyProtection="1">
      <alignment horizontal="center" vertical="center" wrapText="1"/>
      <protection hidden="1"/>
    </xf>
    <xf numFmtId="0" fontId="13" fillId="6" borderId="42" xfId="0" applyFont="1" applyFill="1" applyBorder="1" applyAlignment="1" applyProtection="1">
      <alignment horizontal="center" vertical="center" wrapText="1"/>
      <protection hidden="1"/>
    </xf>
    <xf numFmtId="0" fontId="43" fillId="6" borderId="45" xfId="0" applyFont="1" applyFill="1" applyBorder="1" applyAlignment="1" applyProtection="1">
      <alignment horizontal="center" vertical="center" wrapText="1"/>
      <protection hidden="1"/>
    </xf>
    <xf numFmtId="0" fontId="13" fillId="6" borderId="45" xfId="0" applyFont="1" applyFill="1" applyBorder="1" applyAlignment="1" applyProtection="1">
      <alignment horizontal="center" vertical="center" wrapText="1"/>
      <protection hidden="1"/>
    </xf>
    <xf numFmtId="0" fontId="13" fillId="6" borderId="43" xfId="0" applyFont="1" applyFill="1" applyBorder="1" applyAlignment="1" applyProtection="1">
      <alignment horizontal="center" vertical="center" wrapText="1"/>
      <protection hidden="1"/>
    </xf>
    <xf numFmtId="0" fontId="13" fillId="6" borderId="51" xfId="0" applyFont="1" applyFill="1" applyBorder="1" applyAlignment="1" applyProtection="1">
      <alignment horizontal="center" vertical="center" wrapText="1"/>
      <protection hidden="1"/>
    </xf>
    <xf numFmtId="0" fontId="13" fillId="6" borderId="5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/>
    <xf numFmtId="0" fontId="13" fillId="0" borderId="0" xfId="0" applyFont="1" applyFill="1" applyBorder="1" applyAlignment="1" applyProtection="1">
      <alignment vertical="center"/>
      <protection hidden="1"/>
    </xf>
    <xf numFmtId="0" fontId="9" fillId="0" borderId="0" xfId="0" applyFont="1" applyFill="1" applyProtection="1"/>
    <xf numFmtId="0" fontId="9" fillId="0" borderId="0" xfId="0" applyFont="1" applyFill="1" applyBorder="1" applyProtection="1"/>
    <xf numFmtId="0" fontId="9" fillId="0" borderId="0" xfId="0" applyFont="1" applyProtection="1"/>
    <xf numFmtId="0" fontId="13" fillId="6" borderId="55" xfId="0" applyFont="1" applyFill="1" applyBorder="1" applyAlignment="1" applyProtection="1">
      <alignment vertical="center"/>
      <protection hidden="1"/>
    </xf>
    <xf numFmtId="0" fontId="9" fillId="0" borderId="27" xfId="0" applyFont="1" applyFill="1" applyBorder="1"/>
    <xf numFmtId="0" fontId="13" fillId="0" borderId="27" xfId="0" applyFont="1" applyFill="1" applyBorder="1" applyAlignment="1" applyProtection="1">
      <alignment vertical="center"/>
      <protection hidden="1"/>
    </xf>
    <xf numFmtId="0" fontId="44" fillId="16" borderId="58" xfId="0" applyNumberFormat="1" applyFont="1" applyFill="1" applyBorder="1" applyAlignment="1" applyProtection="1">
      <alignment vertical="center"/>
      <protection locked="0"/>
    </xf>
    <xf numFmtId="0" fontId="9" fillId="0" borderId="59" xfId="0" applyFont="1" applyFill="1" applyBorder="1"/>
    <xf numFmtId="0" fontId="44" fillId="0" borderId="0" xfId="0" applyNumberFormat="1" applyFont="1" applyFill="1" applyBorder="1" applyAlignment="1" applyProtection="1">
      <alignment vertical="center"/>
      <protection locked="0"/>
    </xf>
    <xf numFmtId="0" fontId="44" fillId="0" borderId="27" xfId="0" applyNumberFormat="1" applyFont="1" applyFill="1" applyBorder="1" applyAlignment="1" applyProtection="1">
      <alignment vertical="center"/>
      <protection locked="0"/>
    </xf>
    <xf numFmtId="0" fontId="45" fillId="0" borderId="0" xfId="0" applyFont="1" applyAlignment="1">
      <alignment horizontal="center" vertical="center" shrinkToFit="1"/>
    </xf>
    <xf numFmtId="182" fontId="0" fillId="39" borderId="63" xfId="0" applyNumberFormat="1" applyFont="1" applyFill="1" applyBorder="1" applyAlignment="1" applyProtection="1">
      <alignment horizontal="center"/>
      <protection hidden="1"/>
    </xf>
    <xf numFmtId="182" fontId="0" fillId="39" borderId="64" xfId="0" applyNumberFormat="1" applyFont="1" applyFill="1" applyBorder="1" applyAlignment="1" applyProtection="1">
      <alignment horizontal="center"/>
      <protection hidden="1"/>
    </xf>
    <xf numFmtId="182" fontId="0" fillId="39" borderId="65" xfId="0" applyNumberFormat="1" applyFont="1" applyFill="1" applyBorder="1" applyAlignment="1" applyProtection="1">
      <alignment horizontal="center"/>
      <protection hidden="1"/>
    </xf>
    <xf numFmtId="190" fontId="0" fillId="39" borderId="65" xfId="0" applyNumberFormat="1" applyFont="1" applyFill="1" applyBorder="1" applyAlignment="1" applyProtection="1">
      <alignment horizontal="center"/>
      <protection hidden="1"/>
    </xf>
    <xf numFmtId="190" fontId="46" fillId="39" borderId="65" xfId="0" applyNumberFormat="1" applyFont="1" applyFill="1" applyBorder="1" applyAlignment="1" applyProtection="1">
      <alignment horizontal="center"/>
      <protection hidden="1"/>
    </xf>
    <xf numFmtId="190" fontId="0" fillId="39" borderId="66" xfId="0" applyNumberFormat="1" applyFont="1" applyFill="1" applyBorder="1" applyAlignment="1" applyProtection="1">
      <alignment horizontal="center"/>
      <protection hidden="1"/>
    </xf>
    <xf numFmtId="2" fontId="0" fillId="39" borderId="63" xfId="0" applyNumberFormat="1" applyFont="1" applyFill="1" applyBorder="1" applyAlignment="1" applyProtection="1">
      <alignment horizontal="center"/>
      <protection hidden="1"/>
    </xf>
    <xf numFmtId="2" fontId="0" fillId="39" borderId="67" xfId="0" applyNumberFormat="1" applyFont="1" applyFill="1" applyBorder="1" applyAlignment="1" applyProtection="1">
      <alignment horizontal="center"/>
      <protection hidden="1"/>
    </xf>
    <xf numFmtId="191" fontId="0" fillId="39" borderId="64" xfId="0" applyNumberFormat="1" applyFont="1" applyFill="1" applyBorder="1" applyAlignment="1" applyProtection="1">
      <alignment horizontal="center"/>
      <protection hidden="1"/>
    </xf>
    <xf numFmtId="182" fontId="0" fillId="39" borderId="66" xfId="0" applyNumberFormat="1" applyFont="1" applyFill="1" applyBorder="1" applyAlignment="1" applyProtection="1">
      <alignment horizontal="center"/>
      <protection hidden="1"/>
    </xf>
    <xf numFmtId="0" fontId="9" fillId="0" borderId="66" xfId="0" applyFont="1" applyBorder="1" applyAlignment="1" applyProtection="1">
      <alignment vertical="center"/>
      <protection hidden="1"/>
    </xf>
    <xf numFmtId="185" fontId="11" fillId="8" borderId="41" xfId="0" applyNumberFormat="1" applyFont="1" applyFill="1" applyBorder="1" applyAlignment="1" applyProtection="1">
      <alignment horizontal="right" vertical="center" shrinkToFit="1"/>
      <protection hidden="1"/>
    </xf>
    <xf numFmtId="183" fontId="47" fillId="8" borderId="40" xfId="0" applyNumberFormat="1" applyFont="1" applyFill="1" applyBorder="1" applyAlignment="1" applyProtection="1">
      <alignment horizontal="right" vertical="center" shrinkToFit="1"/>
      <protection hidden="1"/>
    </xf>
    <xf numFmtId="183" fontId="11" fillId="8" borderId="26" xfId="0" applyNumberFormat="1" applyFont="1" applyFill="1" applyBorder="1" applyAlignment="1" applyProtection="1">
      <alignment horizontal="right" vertical="center" shrinkToFit="1"/>
      <protection hidden="1"/>
    </xf>
    <xf numFmtId="10" fontId="48" fillId="8" borderId="26" xfId="1" applyNumberFormat="1" applyFont="1" applyFill="1" applyBorder="1" applyAlignment="1" applyProtection="1">
      <alignment vertical="center" shrinkToFit="1"/>
      <protection hidden="1"/>
    </xf>
    <xf numFmtId="183" fontId="47" fillId="8" borderId="39" xfId="0" applyNumberFormat="1" applyFont="1" applyFill="1" applyBorder="1" applyAlignment="1" applyProtection="1">
      <alignment horizontal="right" vertical="center" shrinkToFit="1"/>
      <protection hidden="1"/>
    </xf>
    <xf numFmtId="183" fontId="11" fillId="8" borderId="41" xfId="0" applyNumberFormat="1" applyFont="1" applyFill="1" applyBorder="1" applyAlignment="1" applyProtection="1">
      <alignment vertical="center" shrinkToFit="1"/>
      <protection hidden="1"/>
    </xf>
    <xf numFmtId="185" fontId="47" fillId="8" borderId="40" xfId="0" applyNumberFormat="1" applyFont="1" applyFill="1" applyBorder="1" applyAlignment="1" applyProtection="1">
      <alignment vertical="center" shrinkToFit="1"/>
      <protection hidden="1"/>
    </xf>
    <xf numFmtId="185" fontId="11" fillId="8" borderId="39" xfId="0" applyNumberFormat="1" applyFont="1" applyFill="1" applyBorder="1" applyAlignment="1" applyProtection="1">
      <alignment vertical="center" shrinkToFit="1"/>
      <protection hidden="1"/>
    </xf>
    <xf numFmtId="183" fontId="11" fillId="8" borderId="40" xfId="0" applyNumberFormat="1" applyFont="1" applyFill="1" applyBorder="1" applyAlignment="1" applyProtection="1">
      <alignment horizontal="right" vertical="center" shrinkToFit="1"/>
      <protection hidden="1"/>
    </xf>
    <xf numFmtId="185" fontId="11" fillId="16" borderId="39" xfId="0" applyNumberFormat="1" applyFont="1" applyFill="1" applyBorder="1" applyAlignment="1" applyProtection="1">
      <alignment horizontal="right" vertical="center" shrinkToFit="1"/>
      <protection hidden="1"/>
    </xf>
    <xf numFmtId="185" fontId="11" fillId="16" borderId="41" xfId="0" applyNumberFormat="1" applyFont="1" applyFill="1" applyBorder="1" applyAlignment="1" applyProtection="1">
      <alignment horizontal="right" vertical="center" shrinkToFit="1"/>
      <protection hidden="1"/>
    </xf>
    <xf numFmtId="183" fontId="47" fillId="16" borderId="40" xfId="0" applyNumberFormat="1" applyFont="1" applyFill="1" applyBorder="1" applyAlignment="1" applyProtection="1">
      <alignment horizontal="right" vertical="center" shrinkToFit="1"/>
      <protection hidden="1"/>
    </xf>
    <xf numFmtId="183" fontId="11" fillId="16" borderId="26" xfId="0" applyNumberFormat="1" applyFont="1" applyFill="1" applyBorder="1" applyAlignment="1" applyProtection="1">
      <alignment horizontal="right" vertical="center" shrinkToFit="1"/>
      <protection hidden="1"/>
    </xf>
    <xf numFmtId="183" fontId="47" fillId="16" borderId="39" xfId="0" applyNumberFormat="1" applyFont="1" applyFill="1" applyBorder="1" applyAlignment="1" applyProtection="1">
      <alignment horizontal="right" vertical="center" shrinkToFit="1"/>
      <protection hidden="1"/>
    </xf>
    <xf numFmtId="183" fontId="11" fillId="16" borderId="41" xfId="0" applyNumberFormat="1" applyFont="1" applyFill="1" applyBorder="1" applyAlignment="1" applyProtection="1">
      <alignment horizontal="right" vertical="center" shrinkToFit="1"/>
      <protection hidden="1"/>
    </xf>
    <xf numFmtId="185" fontId="47" fillId="16" borderId="40" xfId="0" applyNumberFormat="1" applyFont="1" applyFill="1" applyBorder="1" applyAlignment="1" applyProtection="1">
      <alignment horizontal="right" vertical="center" shrinkToFit="1"/>
      <protection hidden="1"/>
    </xf>
    <xf numFmtId="185" fontId="11" fillId="7" borderId="39" xfId="0" applyNumberFormat="1" applyFont="1" applyFill="1" applyBorder="1" applyAlignment="1" applyProtection="1">
      <alignment horizontal="right" vertical="center" shrinkToFit="1"/>
      <protection hidden="1"/>
    </xf>
    <xf numFmtId="185" fontId="11" fillId="7" borderId="41" xfId="0" applyNumberFormat="1" applyFont="1" applyFill="1" applyBorder="1" applyAlignment="1" applyProtection="1">
      <alignment horizontal="right" vertical="center" shrinkToFit="1"/>
      <protection hidden="1"/>
    </xf>
    <xf numFmtId="183" fontId="47" fillId="7" borderId="40" xfId="0" applyNumberFormat="1" applyFont="1" applyFill="1" applyBorder="1" applyAlignment="1" applyProtection="1">
      <alignment horizontal="right" vertical="center" shrinkToFit="1"/>
      <protection hidden="1"/>
    </xf>
    <xf numFmtId="183" fontId="11" fillId="7" borderId="26" xfId="0" applyNumberFormat="1" applyFont="1" applyFill="1" applyBorder="1" applyAlignment="1" applyProtection="1">
      <alignment horizontal="right" vertical="center" shrinkToFit="1"/>
      <protection hidden="1"/>
    </xf>
    <xf numFmtId="183" fontId="47" fillId="7" borderId="39" xfId="0" applyNumberFormat="1" applyFont="1" applyFill="1" applyBorder="1" applyAlignment="1" applyProtection="1">
      <alignment horizontal="right" vertical="center" shrinkToFit="1"/>
      <protection hidden="1"/>
    </xf>
    <xf numFmtId="183" fontId="11" fillId="7" borderId="41" xfId="0" applyNumberFormat="1" applyFont="1" applyFill="1" applyBorder="1" applyAlignment="1" applyProtection="1">
      <alignment horizontal="right" vertical="center" shrinkToFit="1"/>
      <protection hidden="1"/>
    </xf>
    <xf numFmtId="185" fontId="47" fillId="7" borderId="40" xfId="0" applyNumberFormat="1" applyFont="1" applyFill="1" applyBorder="1" applyAlignment="1" applyProtection="1">
      <alignment horizontal="right" vertical="center" shrinkToFit="1"/>
      <protection hidden="1"/>
    </xf>
    <xf numFmtId="185" fontId="11" fillId="40" borderId="39" xfId="0" applyNumberFormat="1" applyFont="1" applyFill="1" applyBorder="1" applyAlignment="1" applyProtection="1">
      <alignment horizontal="right" vertical="center" shrinkToFit="1"/>
      <protection hidden="1"/>
    </xf>
    <xf numFmtId="185" fontId="11" fillId="40" borderId="41" xfId="0" applyNumberFormat="1" applyFont="1" applyFill="1" applyBorder="1" applyAlignment="1" applyProtection="1">
      <alignment horizontal="right" vertical="center" shrinkToFit="1"/>
      <protection hidden="1"/>
    </xf>
    <xf numFmtId="183" fontId="47" fillId="40" borderId="40" xfId="0" applyNumberFormat="1" applyFont="1" applyFill="1" applyBorder="1" applyAlignment="1" applyProtection="1">
      <alignment horizontal="right" vertical="center" shrinkToFit="1"/>
      <protection hidden="1"/>
    </xf>
    <xf numFmtId="183" fontId="11" fillId="40" borderId="26" xfId="0" applyNumberFormat="1" applyFont="1" applyFill="1" applyBorder="1" applyAlignment="1" applyProtection="1">
      <alignment horizontal="right" vertical="center" shrinkToFit="1"/>
      <protection hidden="1"/>
    </xf>
    <xf numFmtId="183" fontId="47" fillId="40" borderId="39" xfId="0" applyNumberFormat="1" applyFont="1" applyFill="1" applyBorder="1" applyAlignment="1" applyProtection="1">
      <alignment horizontal="right" vertical="center" shrinkToFit="1"/>
      <protection hidden="1"/>
    </xf>
    <xf numFmtId="183" fontId="11" fillId="40" borderId="41" xfId="0" applyNumberFormat="1" applyFont="1" applyFill="1" applyBorder="1" applyAlignment="1" applyProtection="1">
      <alignment horizontal="right" vertical="center" shrinkToFit="1"/>
      <protection hidden="1"/>
    </xf>
    <xf numFmtId="185" fontId="47" fillId="40" borderId="40" xfId="0" applyNumberFormat="1" applyFont="1" applyFill="1" applyBorder="1" applyAlignment="1" applyProtection="1">
      <alignment horizontal="right" vertical="center" shrinkToFit="1"/>
      <protection hidden="1"/>
    </xf>
    <xf numFmtId="185" fontId="11" fillId="40" borderId="42" xfId="0" applyNumberFormat="1" applyFont="1" applyFill="1" applyBorder="1" applyAlignment="1" applyProtection="1">
      <alignment horizontal="right" vertical="center" shrinkToFit="1"/>
      <protection hidden="1"/>
    </xf>
    <xf numFmtId="185" fontId="11" fillId="40" borderId="44" xfId="0" applyNumberFormat="1" applyFont="1" applyFill="1" applyBorder="1" applyAlignment="1" applyProtection="1">
      <alignment horizontal="right" vertical="center" shrinkToFit="1"/>
      <protection hidden="1"/>
    </xf>
    <xf numFmtId="183" fontId="47" fillId="40" borderId="43" xfId="0" applyNumberFormat="1" applyFont="1" applyFill="1" applyBorder="1" applyAlignment="1" applyProtection="1">
      <alignment horizontal="right" vertical="center" shrinkToFit="1"/>
      <protection hidden="1"/>
    </xf>
    <xf numFmtId="183" fontId="11" fillId="40" borderId="45" xfId="0" applyNumberFormat="1" applyFont="1" applyFill="1" applyBorder="1" applyAlignment="1" applyProtection="1">
      <alignment horizontal="right" vertical="center" shrinkToFit="1"/>
      <protection hidden="1"/>
    </xf>
    <xf numFmtId="183" fontId="47" fillId="40" borderId="42" xfId="0" applyNumberFormat="1" applyFont="1" applyFill="1" applyBorder="1" applyAlignment="1" applyProtection="1">
      <alignment horizontal="right" vertical="center" shrinkToFit="1"/>
      <protection hidden="1"/>
    </xf>
    <xf numFmtId="183" fontId="11" fillId="40" borderId="44" xfId="0" applyNumberFormat="1" applyFont="1" applyFill="1" applyBorder="1" applyAlignment="1" applyProtection="1">
      <alignment horizontal="right" vertical="center" shrinkToFit="1"/>
      <protection hidden="1"/>
    </xf>
    <xf numFmtId="185" fontId="47" fillId="40" borderId="43" xfId="0" applyNumberFormat="1" applyFont="1" applyFill="1" applyBorder="1" applyAlignment="1" applyProtection="1">
      <alignment horizontal="right" vertical="center" shrinkToFit="1"/>
      <protection hidden="1"/>
    </xf>
    <xf numFmtId="183" fontId="11" fillId="8" borderId="43" xfId="0" applyNumberFormat="1" applyFont="1" applyFill="1" applyBorder="1" applyAlignment="1" applyProtection="1">
      <alignment horizontal="right" vertical="center" shrinkToFit="1"/>
      <protection hidden="1"/>
    </xf>
    <xf numFmtId="0" fontId="46" fillId="2" borderId="0" xfId="0" applyFont="1" applyFill="1" applyAlignment="1">
      <alignment horizontal="right" vertical="center"/>
    </xf>
    <xf numFmtId="10" fontId="11" fillId="8" borderId="26" xfId="1" applyNumberFormat="1" applyFont="1" applyFill="1" applyBorder="1" applyAlignment="1" applyProtection="1">
      <alignment vertical="center" shrinkToFit="1"/>
      <protection hidden="1"/>
    </xf>
    <xf numFmtId="0" fontId="46" fillId="2" borderId="0" xfId="0" applyFont="1" applyFill="1" applyAlignment="1">
      <alignment horizontal="center" vertical="center"/>
    </xf>
    <xf numFmtId="10" fontId="48" fillId="8" borderId="26" xfId="1" applyNumberFormat="1" applyFont="1" applyFill="1" applyBorder="1" applyAlignment="1" applyProtection="1">
      <alignment vertical="center" shrinkToFit="1"/>
      <protection hidden="1"/>
    </xf>
    <xf numFmtId="9" fontId="18" fillId="0" borderId="0" xfId="8" applyNumberFormat="1" applyFont="1">
      <alignment vertical="center"/>
    </xf>
    <xf numFmtId="0" fontId="49" fillId="4" borderId="4" xfId="0" applyFont="1" applyFill="1" applyBorder="1" applyAlignment="1" applyProtection="1">
      <alignment horizontal="center" vertical="center"/>
      <protection hidden="1"/>
    </xf>
    <xf numFmtId="0" fontId="49" fillId="4" borderId="5" xfId="0" applyFont="1" applyFill="1" applyBorder="1" applyAlignment="1" applyProtection="1">
      <alignment horizontal="center" vertical="center"/>
      <protection hidden="1"/>
    </xf>
    <xf numFmtId="0" fontId="49" fillId="4" borderId="6" xfId="0" applyFont="1" applyFill="1" applyBorder="1" applyAlignment="1" applyProtection="1">
      <alignment horizontal="center" vertical="center"/>
      <protection hidden="1"/>
    </xf>
    <xf numFmtId="0" fontId="49" fillId="4" borderId="7" xfId="0" applyFont="1" applyFill="1" applyBorder="1" applyAlignment="1" applyProtection="1">
      <alignment horizontal="center" vertical="center"/>
      <protection hidden="1"/>
    </xf>
    <xf numFmtId="0" fontId="6" fillId="0" borderId="0" xfId="0" quotePrefix="1" applyFont="1"/>
    <xf numFmtId="9" fontId="22" fillId="9" borderId="0" xfId="0" applyNumberFormat="1" applyFont="1" applyFill="1" applyBorder="1" applyAlignment="1">
      <alignment vertical="center"/>
    </xf>
    <xf numFmtId="10" fontId="22" fillId="9" borderId="0" xfId="0" applyNumberFormat="1" applyFont="1" applyFill="1" applyBorder="1" applyAlignment="1">
      <alignment vertical="center"/>
    </xf>
    <xf numFmtId="0" fontId="6" fillId="9" borderId="0" xfId="0" applyFont="1" applyFill="1"/>
    <xf numFmtId="0" fontId="9" fillId="9" borderId="0" xfId="0" applyFont="1" applyFill="1" applyProtection="1"/>
    <xf numFmtId="0" fontId="13" fillId="9" borderId="0" xfId="0" applyFont="1" applyFill="1" applyBorder="1" applyAlignment="1" applyProtection="1">
      <alignment horizontal="center" vertical="center"/>
      <protection hidden="1"/>
    </xf>
    <xf numFmtId="0" fontId="9" fillId="9" borderId="0" xfId="0" applyFont="1" applyFill="1" applyBorder="1" applyAlignment="1" applyProtection="1">
      <alignment vertical="center"/>
      <protection hidden="1"/>
    </xf>
    <xf numFmtId="190" fontId="11" fillId="9" borderId="0" xfId="0" applyNumberFormat="1" applyFont="1" applyFill="1" applyBorder="1" applyAlignment="1" applyProtection="1">
      <alignment horizontal="right" vertical="center" shrinkToFit="1"/>
      <protection hidden="1"/>
    </xf>
    <xf numFmtId="10" fontId="51" fillId="9" borderId="0" xfId="0" applyNumberFormat="1" applyFont="1" applyFill="1" applyBorder="1" applyAlignment="1">
      <alignment vertical="center"/>
    </xf>
    <xf numFmtId="0" fontId="51" fillId="9" borderId="0" xfId="0" applyFont="1" applyFill="1" applyBorder="1" applyAlignment="1" applyProtection="1">
      <alignment vertical="center"/>
      <protection hidden="1"/>
    </xf>
    <xf numFmtId="38" fontId="8" fillId="3" borderId="2" xfId="2" applyFont="1" applyFill="1" applyBorder="1" applyAlignment="1" applyProtection="1">
      <alignment vertical="center"/>
      <protection locked="0"/>
    </xf>
    <xf numFmtId="0" fontId="52" fillId="2" borderId="0" xfId="0" applyFont="1" applyFill="1" applyBorder="1" applyAlignment="1" applyProtection="1">
      <alignment vertical="center"/>
      <protection locked="0"/>
    </xf>
    <xf numFmtId="0" fontId="12" fillId="9" borderId="0" xfId="0" applyFont="1" applyFill="1" applyAlignment="1">
      <alignment vertical="center"/>
    </xf>
    <xf numFmtId="0" fontId="53" fillId="0" borderId="0" xfId="8" applyFont="1">
      <alignment vertical="center"/>
    </xf>
    <xf numFmtId="178" fontId="18" fillId="41" borderId="0" xfId="8" applyNumberFormat="1" applyFont="1" applyFill="1">
      <alignment vertical="center"/>
    </xf>
    <xf numFmtId="178" fontId="18" fillId="0" borderId="0" xfId="8" applyNumberFormat="1" applyFont="1" applyFill="1">
      <alignment vertical="center"/>
    </xf>
    <xf numFmtId="1" fontId="51" fillId="14" borderId="26" xfId="0" applyNumberFormat="1" applyFont="1" applyFill="1" applyBorder="1" applyAlignment="1" applyProtection="1">
      <alignment horizontal="center" vertical="center"/>
      <protection hidden="1"/>
    </xf>
    <xf numFmtId="185" fontId="51" fillId="14" borderId="26" xfId="0" applyNumberFormat="1" applyFont="1" applyFill="1" applyBorder="1" applyAlignment="1">
      <alignment horizontal="center" vertical="center"/>
    </xf>
    <xf numFmtId="0" fontId="22" fillId="15" borderId="0" xfId="0" applyNumberFormat="1" applyFont="1" applyFill="1" applyBorder="1" applyAlignment="1" applyProtection="1">
      <alignment vertical="center"/>
      <protection hidden="1"/>
    </xf>
    <xf numFmtId="192" fontId="22" fillId="15" borderId="0" xfId="0" applyNumberFormat="1" applyFont="1" applyFill="1" applyBorder="1" applyAlignment="1" applyProtection="1">
      <alignment vertical="center"/>
      <protection hidden="1"/>
    </xf>
    <xf numFmtId="0" fontId="18" fillId="0" borderId="0" xfId="8" applyFont="1" applyFill="1">
      <alignment vertical="center"/>
    </xf>
    <xf numFmtId="1" fontId="18" fillId="0" borderId="0" xfId="8" applyNumberFormat="1" applyFont="1" applyFill="1">
      <alignment vertical="center"/>
    </xf>
    <xf numFmtId="177" fontId="18" fillId="0" borderId="0" xfId="9" applyNumberFormat="1" applyFont="1" applyFill="1">
      <alignment vertical="center"/>
    </xf>
    <xf numFmtId="180" fontId="18" fillId="0" borderId="0" xfId="8" applyNumberFormat="1" applyFont="1" applyFill="1">
      <alignment vertical="center"/>
    </xf>
    <xf numFmtId="2" fontId="18" fillId="0" borderId="0" xfId="8" applyNumberFormat="1" applyFont="1" applyFill="1">
      <alignment vertical="center"/>
    </xf>
    <xf numFmtId="0" fontId="55" fillId="0" borderId="26" xfId="5" applyFont="1" applyBorder="1" applyAlignment="1">
      <alignment horizontal="center" vertical="center"/>
    </xf>
    <xf numFmtId="0" fontId="55" fillId="0" borderId="0" xfId="5" applyFont="1" applyAlignment="1">
      <alignment horizontal="center" vertical="center"/>
    </xf>
    <xf numFmtId="0" fontId="55" fillId="41" borderId="0" xfId="5" applyFont="1" applyFill="1" applyAlignment="1">
      <alignment horizontal="center" vertical="center"/>
    </xf>
    <xf numFmtId="9" fontId="51" fillId="9" borderId="0" xfId="0" applyNumberFormat="1" applyFont="1" applyFill="1" applyBorder="1" applyAlignment="1" applyProtection="1">
      <alignment vertical="center"/>
      <protection hidden="1"/>
    </xf>
    <xf numFmtId="188" fontId="51" fillId="14" borderId="26" xfId="2" applyNumberFormat="1" applyFont="1" applyFill="1" applyBorder="1" applyAlignment="1" applyProtection="1">
      <alignment horizontal="center" vertical="center"/>
      <protection hidden="1"/>
    </xf>
    <xf numFmtId="184" fontId="51" fillId="14" borderId="26" xfId="0" applyNumberFormat="1" applyFont="1" applyFill="1" applyBorder="1" applyAlignment="1">
      <alignment horizontal="center" vertical="center"/>
    </xf>
    <xf numFmtId="185" fontId="51" fillId="14" borderId="26" xfId="0" applyNumberFormat="1" applyFont="1" applyFill="1" applyBorder="1" applyAlignment="1" applyProtection="1">
      <alignment horizontal="center" vertical="center"/>
      <protection hidden="1"/>
    </xf>
    <xf numFmtId="184" fontId="51" fillId="14" borderId="26" xfId="0" applyNumberFormat="1" applyFont="1" applyFill="1" applyBorder="1" applyAlignment="1" applyProtection="1">
      <alignment horizontal="center" vertical="center"/>
      <protection hidden="1"/>
    </xf>
    <xf numFmtId="0" fontId="55" fillId="0" borderId="0" xfId="0" applyFont="1"/>
    <xf numFmtId="177" fontId="22" fillId="9" borderId="0" xfId="0" applyNumberFormat="1" applyFont="1" applyFill="1" applyBorder="1" applyAlignment="1">
      <alignment horizontal="center" vertical="center"/>
    </xf>
    <xf numFmtId="3" fontId="22" fillId="9" borderId="0" xfId="0" applyNumberFormat="1" applyFont="1" applyFill="1" applyBorder="1" applyAlignment="1" applyProtection="1">
      <alignment horizontal="center" vertical="center"/>
      <protection hidden="1"/>
    </xf>
    <xf numFmtId="0" fontId="55" fillId="0" borderId="26" xfId="0" applyFont="1" applyBorder="1" applyAlignment="1">
      <alignment horizontal="center" vertical="center"/>
    </xf>
    <xf numFmtId="0" fontId="21" fillId="9" borderId="0" xfId="0" applyFont="1" applyFill="1" applyBorder="1" applyAlignment="1">
      <alignment horizontal="center" vertical="center"/>
    </xf>
    <xf numFmtId="0" fontId="22" fillId="15" borderId="0" xfId="0" applyFont="1" applyFill="1" applyBorder="1" applyAlignment="1" applyProtection="1">
      <alignment horizontal="left" vertical="center"/>
      <protection hidden="1"/>
    </xf>
    <xf numFmtId="0" fontId="21" fillId="15" borderId="0" xfId="0" applyFont="1" applyFill="1" applyBorder="1" applyAlignment="1" applyProtection="1">
      <alignment horizontal="left" vertical="center" shrinkToFit="1"/>
      <protection hidden="1"/>
    </xf>
    <xf numFmtId="0" fontId="21" fillId="15" borderId="0" xfId="0" applyFont="1" applyFill="1" applyBorder="1" applyAlignment="1" applyProtection="1">
      <alignment horizontal="center" vertical="center"/>
      <protection hidden="1"/>
    </xf>
    <xf numFmtId="0" fontId="1" fillId="0" borderId="0" xfId="64">
      <alignment vertical="center"/>
    </xf>
    <xf numFmtId="0" fontId="1" fillId="0" borderId="26" xfId="64" applyBorder="1" applyAlignment="1">
      <alignment horizontal="center" vertical="center"/>
    </xf>
    <xf numFmtId="0" fontId="57" fillId="0" borderId="0" xfId="64" applyFont="1">
      <alignment vertical="center"/>
    </xf>
    <xf numFmtId="2" fontId="1" fillId="0" borderId="26" xfId="64" applyNumberFormat="1" applyBorder="1" applyAlignment="1">
      <alignment horizontal="center" vertical="center"/>
    </xf>
    <xf numFmtId="2" fontId="1" fillId="15" borderId="26" xfId="64" applyNumberFormat="1" applyFill="1" applyBorder="1" applyAlignment="1">
      <alignment horizontal="center" vertical="center"/>
    </xf>
    <xf numFmtId="0" fontId="58" fillId="9" borderId="0" xfId="0" applyFont="1" applyFill="1" applyBorder="1" applyAlignment="1">
      <alignment vertical="center"/>
    </xf>
    <xf numFmtId="0" fontId="55" fillId="0" borderId="0" xfId="5" applyFont="1" applyAlignment="1">
      <alignment vertical="center"/>
    </xf>
    <xf numFmtId="0" fontId="55" fillId="0" borderId="0" xfId="5" applyFont="1" applyFill="1" applyAlignment="1">
      <alignment vertical="center"/>
    </xf>
    <xf numFmtId="178" fontId="55" fillId="41" borderId="0" xfId="5" applyNumberFormat="1" applyFont="1" applyFill="1" applyAlignment="1">
      <alignment horizontal="center" vertical="center"/>
    </xf>
    <xf numFmtId="178" fontId="55" fillId="0" borderId="0" xfId="5" applyNumberFormat="1" applyFont="1" applyFill="1" applyAlignment="1">
      <alignment horizontal="center" vertical="center"/>
    </xf>
    <xf numFmtId="0" fontId="55" fillId="0" borderId="0" xfId="5" applyFont="1" applyFill="1" applyAlignment="1">
      <alignment horizontal="center" vertical="center"/>
    </xf>
    <xf numFmtId="2" fontId="55" fillId="0" borderId="0" xfId="5" applyNumberFormat="1" applyFont="1" applyAlignment="1">
      <alignment horizontal="center" vertical="center"/>
    </xf>
    <xf numFmtId="178" fontId="55" fillId="0" borderId="0" xfId="5" applyNumberFormat="1" applyFont="1" applyAlignment="1">
      <alignment horizontal="center" vertical="center"/>
    </xf>
    <xf numFmtId="0" fontId="55" fillId="0" borderId="0" xfId="5" applyFont="1" applyBorder="1" applyAlignment="1">
      <alignment horizontal="center" vertical="center"/>
    </xf>
    <xf numFmtId="180" fontId="55" fillId="0" borderId="26" xfId="5" applyNumberFormat="1" applyFont="1" applyBorder="1" applyAlignment="1">
      <alignment horizontal="center" vertical="center"/>
    </xf>
    <xf numFmtId="180" fontId="55" fillId="0" borderId="0" xfId="5" applyNumberFormat="1" applyFont="1" applyBorder="1" applyAlignment="1">
      <alignment horizontal="center" vertical="center"/>
    </xf>
    <xf numFmtId="0" fontId="60" fillId="9" borderId="0" xfId="0" applyFont="1" applyFill="1" applyBorder="1" applyAlignment="1">
      <alignment vertical="center"/>
    </xf>
    <xf numFmtId="0" fontId="60" fillId="9" borderId="0" xfId="0" applyFont="1" applyFill="1" applyBorder="1" applyAlignment="1" applyProtection="1">
      <alignment vertical="center"/>
      <protection hidden="1"/>
    </xf>
    <xf numFmtId="0" fontId="17" fillId="15" borderId="28" xfId="5" applyFont="1" applyFill="1" applyBorder="1" applyAlignment="1" applyProtection="1">
      <alignment horizontal="center" vertical="center" shrinkToFit="1"/>
    </xf>
    <xf numFmtId="189" fontId="17" fillId="15" borderId="28" xfId="5" applyNumberFormat="1" applyFont="1" applyFill="1" applyBorder="1" applyAlignment="1" applyProtection="1">
      <alignment vertical="center"/>
    </xf>
    <xf numFmtId="0" fontId="18" fillId="15" borderId="75" xfId="8" applyFont="1" applyFill="1" applyBorder="1">
      <alignment vertical="center"/>
    </xf>
    <xf numFmtId="0" fontId="18" fillId="15" borderId="76" xfId="8" applyFont="1" applyFill="1" applyBorder="1" applyProtection="1">
      <alignment vertical="center"/>
    </xf>
    <xf numFmtId="0" fontId="18" fillId="15" borderId="77" xfId="8" applyFont="1" applyFill="1" applyBorder="1">
      <alignment vertical="center"/>
    </xf>
    <xf numFmtId="0" fontId="18" fillId="15" borderId="74" xfId="8" applyFont="1" applyFill="1" applyBorder="1" applyAlignment="1">
      <alignment horizontal="center" vertical="center"/>
    </xf>
    <xf numFmtId="0" fontId="61" fillId="0" borderId="26" xfId="0" applyFont="1" applyBorder="1" applyAlignment="1">
      <alignment horizontal="center" vertical="center"/>
    </xf>
    <xf numFmtId="0" fontId="61" fillId="0" borderId="0" xfId="0" applyFont="1"/>
    <xf numFmtId="0" fontId="1" fillId="0" borderId="78" xfId="64" applyBorder="1" applyAlignment="1">
      <alignment horizontal="center" vertical="center"/>
    </xf>
    <xf numFmtId="0" fontId="1" fillId="0" borderId="0" xfId="64" applyFill="1" applyBorder="1" applyAlignment="1">
      <alignment horizontal="center" vertical="center"/>
    </xf>
    <xf numFmtId="0" fontId="1" fillId="0" borderId="0" xfId="64" applyBorder="1">
      <alignment vertical="center"/>
    </xf>
    <xf numFmtId="178" fontId="1" fillId="0" borderId="26" xfId="64" applyNumberFormat="1" applyBorder="1" applyAlignment="1">
      <alignment horizontal="center" vertical="center"/>
    </xf>
    <xf numFmtId="1" fontId="1" fillId="0" borderId="0" xfId="64" applyNumberFormat="1" applyBorder="1" applyAlignment="1">
      <alignment horizontal="center" vertical="center"/>
    </xf>
    <xf numFmtId="180" fontId="1" fillId="0" borderId="0" xfId="64" applyNumberFormat="1" applyBorder="1" applyAlignment="1">
      <alignment horizontal="center" vertical="center"/>
    </xf>
    <xf numFmtId="180" fontId="1" fillId="0" borderId="0" xfId="64" applyNumberFormat="1" applyAlignment="1">
      <alignment horizontal="center" vertical="center"/>
    </xf>
    <xf numFmtId="9" fontId="1" fillId="0" borderId="0" xfId="64" applyNumberFormat="1">
      <alignment vertical="center"/>
    </xf>
    <xf numFmtId="178" fontId="1" fillId="0" borderId="0" xfId="64" applyNumberFormat="1" applyFill="1" applyBorder="1" applyAlignment="1">
      <alignment horizontal="center" vertical="center"/>
    </xf>
    <xf numFmtId="1" fontId="1" fillId="0" borderId="0" xfId="64" applyNumberFormat="1" applyAlignment="1">
      <alignment horizontal="center" vertical="center"/>
    </xf>
    <xf numFmtId="178" fontId="1" fillId="0" borderId="0" xfId="64" applyNumberFormat="1" applyAlignment="1">
      <alignment horizontal="center" vertical="center"/>
    </xf>
    <xf numFmtId="0" fontId="62" fillId="0" borderId="0" xfId="64" applyFont="1">
      <alignment vertical="center"/>
    </xf>
    <xf numFmtId="0" fontId="1" fillId="0" borderId="0" xfId="64" applyAlignment="1">
      <alignment horizontal="center" vertical="center"/>
    </xf>
    <xf numFmtId="0" fontId="1" fillId="0" borderId="26" xfId="64" applyFill="1" applyBorder="1" applyAlignment="1">
      <alignment horizontal="center" vertical="center"/>
    </xf>
    <xf numFmtId="1" fontId="1" fillId="0" borderId="26" xfId="64" applyNumberFormat="1" applyBorder="1" applyAlignment="1">
      <alignment horizontal="center" vertical="center"/>
    </xf>
    <xf numFmtId="180" fontId="1" fillId="0" borderId="26" xfId="64" applyNumberFormat="1" applyBorder="1" applyAlignment="1">
      <alignment horizontal="center" vertical="center"/>
    </xf>
    <xf numFmtId="1" fontId="1" fillId="0" borderId="0" xfId="64" applyNumberFormat="1" applyFont="1" applyAlignment="1">
      <alignment horizontal="center" vertical="center"/>
    </xf>
    <xf numFmtId="0" fontId="22" fillId="15" borderId="0" xfId="0" quotePrefix="1" applyFont="1" applyFill="1" applyBorder="1" applyAlignment="1" applyProtection="1">
      <alignment horizontal="center" vertical="center"/>
      <protection hidden="1"/>
    </xf>
    <xf numFmtId="0" fontId="22" fillId="15" borderId="0" xfId="0" applyFont="1" applyFill="1" applyBorder="1" applyAlignment="1" applyProtection="1">
      <alignment horizontal="center" vertical="center"/>
      <protection hidden="1"/>
    </xf>
    <xf numFmtId="0" fontId="22" fillId="15" borderId="0" xfId="0" quotePrefix="1" applyFont="1" applyFill="1" applyBorder="1" applyAlignment="1">
      <alignment horizontal="center" vertical="center"/>
    </xf>
    <xf numFmtId="0" fontId="22" fillId="15" borderId="0" xfId="0" applyFont="1" applyFill="1" applyBorder="1" applyAlignment="1">
      <alignment horizontal="center" vertical="center"/>
    </xf>
    <xf numFmtId="0" fontId="22" fillId="15" borderId="0" xfId="0" applyFont="1" applyFill="1" applyBorder="1" applyAlignment="1" applyProtection="1">
      <alignment horizontal="center" vertical="center" wrapText="1"/>
      <protection hidden="1"/>
    </xf>
    <xf numFmtId="178" fontId="22" fillId="9" borderId="0" xfId="0" applyNumberFormat="1" applyFont="1" applyFill="1" applyBorder="1" applyAlignment="1" applyProtection="1">
      <alignment horizontal="center" vertical="center"/>
      <protection hidden="1"/>
    </xf>
    <xf numFmtId="182" fontId="22" fillId="9" borderId="0" xfId="1" applyNumberFormat="1" applyFont="1" applyFill="1" applyBorder="1" applyAlignment="1" applyProtection="1">
      <alignment horizontal="center" vertical="center"/>
      <protection hidden="1"/>
    </xf>
    <xf numFmtId="40" fontId="22" fillId="8" borderId="0" xfId="2" applyNumberFormat="1" applyFont="1" applyFill="1" applyBorder="1" applyAlignment="1" applyProtection="1">
      <alignment horizontal="center"/>
      <protection hidden="1"/>
    </xf>
    <xf numFmtId="2" fontId="22" fillId="9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64" applyBorder="1" applyAlignment="1">
      <alignment horizontal="center" vertical="center"/>
    </xf>
    <xf numFmtId="0" fontId="1" fillId="0" borderId="26" xfId="64" applyBorder="1">
      <alignment vertical="center"/>
    </xf>
    <xf numFmtId="180" fontId="56" fillId="0" borderId="26" xfId="64" applyNumberFormat="1" applyFont="1" applyBorder="1" applyAlignment="1">
      <alignment horizontal="center" vertical="center"/>
    </xf>
    <xf numFmtId="1" fontId="56" fillId="0" borderId="0" xfId="64" applyNumberFormat="1" applyFont="1" applyBorder="1" applyAlignment="1">
      <alignment horizontal="center" vertical="center"/>
    </xf>
    <xf numFmtId="1" fontId="56" fillId="0" borderId="0" xfId="64" applyNumberFormat="1" applyFont="1" applyAlignment="1">
      <alignment horizontal="center" vertical="center"/>
    </xf>
    <xf numFmtId="1" fontId="63" fillId="41" borderId="26" xfId="64" applyNumberFormat="1" applyFont="1" applyFill="1" applyBorder="1" applyAlignment="1">
      <alignment horizontal="center" vertical="center"/>
    </xf>
    <xf numFmtId="0" fontId="61" fillId="0" borderId="0" xfId="5" applyFont="1" applyAlignment="1">
      <alignment vertical="center"/>
    </xf>
    <xf numFmtId="9" fontId="21" fillId="9" borderId="0" xfId="1" applyNumberFormat="1" applyFont="1" applyFill="1" applyBorder="1" applyAlignment="1" applyProtection="1">
      <alignment horizontal="center" vertical="center"/>
      <protection hidden="1"/>
    </xf>
    <xf numFmtId="38" fontId="24" fillId="9" borderId="0" xfId="0" applyNumberFormat="1" applyFont="1" applyFill="1" applyBorder="1" applyAlignment="1" applyProtection="1">
      <alignment horizontal="center" vertical="center"/>
      <protection hidden="1"/>
    </xf>
    <xf numFmtId="1" fontId="24" fillId="9" borderId="0" xfId="0" applyNumberFormat="1" applyFont="1" applyFill="1" applyBorder="1" applyAlignment="1" applyProtection="1">
      <alignment horizontal="center" vertical="center"/>
      <protection hidden="1"/>
    </xf>
    <xf numFmtId="177" fontId="21" fillId="9" borderId="0" xfId="0" applyNumberFormat="1" applyFont="1" applyFill="1" applyBorder="1" applyAlignment="1">
      <alignment horizontal="center" vertical="center"/>
    </xf>
    <xf numFmtId="38" fontId="21" fillId="9" borderId="0" xfId="0" applyNumberFormat="1" applyFont="1" applyFill="1" applyBorder="1" applyAlignment="1">
      <alignment horizontal="center" vertical="center"/>
    </xf>
    <xf numFmtId="1" fontId="22" fillId="9" borderId="0" xfId="0" applyNumberFormat="1" applyFont="1" applyFill="1" applyBorder="1" applyAlignment="1" applyProtection="1">
      <alignment horizontal="center" vertical="center"/>
      <protection hidden="1"/>
    </xf>
    <xf numFmtId="177" fontId="22" fillId="9" borderId="0" xfId="1" applyNumberFormat="1" applyFont="1" applyFill="1" applyBorder="1" applyAlignment="1" applyProtection="1">
      <alignment horizontal="center" vertical="center"/>
      <protection hidden="1"/>
    </xf>
    <xf numFmtId="178" fontId="21" fillId="9" borderId="0" xfId="0" applyNumberFormat="1" applyFont="1" applyFill="1" applyBorder="1" applyAlignment="1" applyProtection="1">
      <alignment horizontal="center" vertical="center"/>
      <protection hidden="1"/>
    </xf>
    <xf numFmtId="182" fontId="22" fillId="8" borderId="0" xfId="1" applyNumberFormat="1" applyFont="1" applyFill="1" applyBorder="1" applyAlignment="1" applyProtection="1">
      <alignment horizontal="center" vertical="center"/>
      <protection hidden="1"/>
    </xf>
    <xf numFmtId="182" fontId="21" fillId="9" borderId="0" xfId="1" applyNumberFormat="1" applyFont="1" applyFill="1" applyBorder="1" applyAlignment="1" applyProtection="1">
      <alignment horizontal="center" vertical="center"/>
      <protection hidden="1"/>
    </xf>
    <xf numFmtId="178" fontId="22" fillId="15" borderId="0" xfId="0" applyNumberFormat="1" applyFont="1" applyFill="1" applyBorder="1" applyAlignment="1" applyProtection="1">
      <alignment horizontal="center" vertical="center"/>
      <protection hidden="1"/>
    </xf>
    <xf numFmtId="193" fontId="22" fillId="9" borderId="0" xfId="0" applyNumberFormat="1" applyFont="1" applyFill="1" applyBorder="1" applyAlignment="1">
      <alignment vertical="center"/>
    </xf>
    <xf numFmtId="0" fontId="1" fillId="0" borderId="26" xfId="64" applyBorder="1" applyAlignment="1">
      <alignment horizontal="center" vertical="center"/>
    </xf>
    <xf numFmtId="9" fontId="56" fillId="0" borderId="0" xfId="64" applyNumberFormat="1" applyFont="1">
      <alignment vertical="center"/>
    </xf>
    <xf numFmtId="0" fontId="56" fillId="0" borderId="26" xfId="64" applyFont="1" applyBorder="1" applyAlignment="1">
      <alignment horizontal="center" vertical="center"/>
    </xf>
    <xf numFmtId="0" fontId="64" fillId="0" borderId="26" xfId="64" applyFont="1" applyBorder="1" applyAlignment="1">
      <alignment horizontal="center" vertical="center"/>
    </xf>
    <xf numFmtId="1" fontId="63" fillId="0" borderId="0" xfId="64" applyNumberFormat="1" applyFont="1" applyBorder="1" applyAlignment="1">
      <alignment horizontal="center" vertical="center"/>
    </xf>
    <xf numFmtId="0" fontId="56" fillId="0" borderId="0" xfId="64" applyFont="1">
      <alignment vertical="center"/>
    </xf>
    <xf numFmtId="0" fontId="63" fillId="0" borderId="0" xfId="64" applyFont="1">
      <alignment vertical="center"/>
    </xf>
    <xf numFmtId="1" fontId="56" fillId="41" borderId="26" xfId="64" applyNumberFormat="1" applyFont="1" applyFill="1" applyBorder="1" applyAlignment="1">
      <alignment horizontal="center" vertical="center"/>
    </xf>
    <xf numFmtId="0" fontId="65" fillId="0" borderId="0" xfId="64" applyFont="1">
      <alignment vertical="center"/>
    </xf>
    <xf numFmtId="0" fontId="64" fillId="0" borderId="0" xfId="64" applyFont="1">
      <alignment vertical="center"/>
    </xf>
    <xf numFmtId="1" fontId="1" fillId="0" borderId="0" xfId="64" applyNumberFormat="1">
      <alignment vertical="center"/>
    </xf>
    <xf numFmtId="177" fontId="1" fillId="42" borderId="0" xfId="1" applyNumberFormat="1" applyFont="1" applyFill="1" applyAlignment="1">
      <alignment vertical="center"/>
    </xf>
    <xf numFmtId="177" fontId="1" fillId="43" borderId="0" xfId="1" applyNumberFormat="1" applyFont="1" applyFill="1" applyAlignment="1">
      <alignment vertical="center"/>
    </xf>
    <xf numFmtId="178" fontId="56" fillId="0" borderId="26" xfId="64" applyNumberFormat="1" applyFont="1" applyBorder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178" fontId="1" fillId="0" borderId="0" xfId="64" applyNumberFormat="1">
      <alignment vertical="center"/>
    </xf>
    <xf numFmtId="177" fontId="1" fillId="0" borderId="0" xfId="1" applyNumberFormat="1" applyFont="1" applyAlignment="1">
      <alignment vertical="center"/>
    </xf>
    <xf numFmtId="2" fontId="56" fillId="41" borderId="26" xfId="64" applyNumberFormat="1" applyFont="1" applyFill="1" applyBorder="1" applyAlignment="1">
      <alignment horizontal="center" vertical="center"/>
    </xf>
    <xf numFmtId="0" fontId="1" fillId="41" borderId="0" xfId="64" applyFill="1">
      <alignment vertical="center"/>
    </xf>
    <xf numFmtId="178" fontId="56" fillId="41" borderId="26" xfId="64" applyNumberFormat="1" applyFont="1" applyFill="1" applyBorder="1" applyAlignment="1">
      <alignment horizontal="center" vertical="center"/>
    </xf>
    <xf numFmtId="0" fontId="55" fillId="15" borderId="26" xfId="0" applyFont="1" applyFill="1" applyBorder="1" applyAlignment="1">
      <alignment horizontal="center" vertical="center"/>
    </xf>
    <xf numFmtId="0" fontId="55" fillId="41" borderId="26" xfId="0" applyFont="1" applyFill="1" applyBorder="1" applyAlignment="1">
      <alignment horizontal="center" vertical="center"/>
    </xf>
    <xf numFmtId="178" fontId="55" fillId="41" borderId="26" xfId="0" applyNumberFormat="1" applyFont="1" applyFill="1" applyBorder="1" applyAlignment="1">
      <alignment horizontal="center" vertical="center"/>
    </xf>
    <xf numFmtId="0" fontId="61" fillId="15" borderId="26" xfId="0" applyFont="1" applyFill="1" applyBorder="1" applyAlignment="1">
      <alignment horizontal="center" vertical="center"/>
    </xf>
    <xf numFmtId="0" fontId="55" fillId="44" borderId="26" xfId="0" applyFont="1" applyFill="1" applyBorder="1" applyAlignment="1">
      <alignment horizontal="center" vertical="center"/>
    </xf>
    <xf numFmtId="0" fontId="61" fillId="44" borderId="26" xfId="0" applyFont="1" applyFill="1" applyBorder="1" applyAlignment="1">
      <alignment horizontal="center" vertical="center"/>
    </xf>
    <xf numFmtId="178" fontId="61" fillId="15" borderId="26" xfId="0" applyNumberFormat="1" applyFont="1" applyFill="1" applyBorder="1" applyAlignment="1">
      <alignment horizontal="center" vertical="center"/>
    </xf>
    <xf numFmtId="178" fontId="55" fillId="0" borderId="0" xfId="0" applyNumberFormat="1" applyFont="1" applyAlignment="1">
      <alignment horizontal="center"/>
    </xf>
    <xf numFmtId="0" fontId="55" fillId="0" borderId="0" xfId="0" applyFont="1" applyAlignment="1">
      <alignment horizontal="center"/>
    </xf>
    <xf numFmtId="0" fontId="55" fillId="0" borderId="0" xfId="0" applyFont="1" applyAlignment="1">
      <alignment horizontal="center" vertical="center"/>
    </xf>
    <xf numFmtId="177" fontId="55" fillId="0" borderId="0" xfId="1" applyNumberFormat="1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41" borderId="26" xfId="0" applyFont="1" applyFill="1" applyBorder="1" applyAlignment="1">
      <alignment horizontal="center" vertical="center"/>
    </xf>
    <xf numFmtId="178" fontId="61" fillId="41" borderId="26" xfId="0" applyNumberFormat="1" applyFont="1" applyFill="1" applyBorder="1" applyAlignment="1">
      <alignment horizontal="center" vertical="center"/>
    </xf>
    <xf numFmtId="0" fontId="1" fillId="0" borderId="26" xfId="64" applyBorder="1" applyAlignment="1">
      <alignment horizontal="center" vertical="center"/>
    </xf>
    <xf numFmtId="0" fontId="66" fillId="0" borderId="0" xfId="0" applyFont="1"/>
    <xf numFmtId="177" fontId="56" fillId="45" borderId="0" xfId="64" applyNumberFormat="1" applyFont="1" applyFill="1">
      <alignment vertical="center"/>
    </xf>
    <xf numFmtId="1" fontId="63" fillId="45" borderId="26" xfId="64" applyNumberFormat="1" applyFont="1" applyFill="1" applyBorder="1" applyAlignment="1">
      <alignment horizontal="center" vertical="center"/>
    </xf>
    <xf numFmtId="1" fontId="56" fillId="45" borderId="26" xfId="64" applyNumberFormat="1" applyFont="1" applyFill="1" applyBorder="1" applyAlignment="1">
      <alignment horizontal="center" vertical="center"/>
    </xf>
    <xf numFmtId="0" fontId="1" fillId="45" borderId="26" xfId="64" applyFill="1" applyBorder="1" applyAlignment="1">
      <alignment horizontal="center" vertical="center"/>
    </xf>
    <xf numFmtId="178" fontId="1" fillId="45" borderId="26" xfId="64" applyNumberFormat="1" applyFill="1" applyBorder="1" applyAlignment="1">
      <alignment horizontal="center" vertical="center"/>
    </xf>
    <xf numFmtId="0" fontId="1" fillId="45" borderId="26" xfId="64" applyFill="1" applyBorder="1">
      <alignment vertical="center"/>
    </xf>
    <xf numFmtId="0" fontId="1" fillId="45" borderId="0" xfId="64" applyFill="1" applyAlignment="1">
      <alignment horizontal="center" vertical="center"/>
    </xf>
    <xf numFmtId="1" fontId="1" fillId="45" borderId="0" xfId="64" applyNumberFormat="1" applyFill="1" applyBorder="1" applyAlignment="1">
      <alignment horizontal="center" vertical="center"/>
    </xf>
    <xf numFmtId="9" fontId="56" fillId="45" borderId="0" xfId="64" applyNumberFormat="1" applyFont="1" applyFill="1">
      <alignment vertical="center"/>
    </xf>
    <xf numFmtId="178" fontId="1" fillId="0" borderId="0" xfId="64" applyNumberFormat="1" applyFill="1">
      <alignment vertical="center"/>
    </xf>
    <xf numFmtId="0" fontId="1" fillId="0" borderId="26" xfId="64" applyBorder="1" applyAlignment="1">
      <alignment horizontal="center" vertical="center"/>
    </xf>
    <xf numFmtId="0" fontId="6" fillId="0" borderId="0" xfId="5" applyFill="1"/>
    <xf numFmtId="0" fontId="46" fillId="0" borderId="0" xfId="5" applyFont="1" applyFill="1"/>
    <xf numFmtId="0" fontId="6" fillId="0" borderId="67" xfId="5" applyFill="1" applyBorder="1" applyAlignment="1">
      <alignment vertical="center"/>
    </xf>
    <xf numFmtId="0" fontId="6" fillId="0" borderId="0" xfId="5" applyFill="1" applyAlignment="1">
      <alignment vertical="center"/>
    </xf>
    <xf numFmtId="22" fontId="6" fillId="0" borderId="0" xfId="5" applyNumberFormat="1" applyFill="1" applyAlignment="1">
      <alignment vertical="center"/>
    </xf>
    <xf numFmtId="11" fontId="6" fillId="0" borderId="0" xfId="5" applyNumberFormat="1" applyFill="1" applyAlignment="1">
      <alignment vertical="center"/>
    </xf>
    <xf numFmtId="0" fontId="6" fillId="0" borderId="0" xfId="5" applyFill="1" applyBorder="1" applyAlignment="1">
      <alignment vertical="center"/>
    </xf>
    <xf numFmtId="22" fontId="6" fillId="0" borderId="0" xfId="5" applyNumberFormat="1" applyFill="1" applyBorder="1" applyAlignment="1">
      <alignment vertical="center"/>
    </xf>
    <xf numFmtId="11" fontId="6" fillId="0" borderId="0" xfId="5" applyNumberFormat="1" applyFill="1" applyBorder="1" applyAlignment="1">
      <alignment vertical="center"/>
    </xf>
    <xf numFmtId="0" fontId="6" fillId="0" borderId="72" xfId="5" applyFill="1" applyBorder="1" applyAlignment="1">
      <alignment vertical="center"/>
    </xf>
    <xf numFmtId="22" fontId="6" fillId="0" borderId="72" xfId="5" applyNumberFormat="1" applyFill="1" applyBorder="1" applyAlignment="1">
      <alignment vertical="center"/>
    </xf>
    <xf numFmtId="11" fontId="6" fillId="0" borderId="72" xfId="5" applyNumberFormat="1" applyFill="1" applyBorder="1" applyAlignment="1">
      <alignment vertical="center"/>
    </xf>
    <xf numFmtId="22" fontId="6" fillId="0" borderId="67" xfId="5" applyNumberFormat="1" applyFill="1" applyBorder="1" applyAlignment="1">
      <alignment vertical="center"/>
    </xf>
    <xf numFmtId="11" fontId="6" fillId="0" borderId="67" xfId="5" applyNumberFormat="1" applyFill="1" applyBorder="1" applyAlignment="1">
      <alignment vertical="center"/>
    </xf>
    <xf numFmtId="0" fontId="6" fillId="0" borderId="0" xfId="5" applyFill="1" applyBorder="1"/>
    <xf numFmtId="0" fontId="6" fillId="0" borderId="67" xfId="5" applyFill="1" applyBorder="1"/>
    <xf numFmtId="0" fontId="6" fillId="0" borderId="0" xfId="5"/>
    <xf numFmtId="0" fontId="67" fillId="0" borderId="0" xfId="5" applyFont="1"/>
    <xf numFmtId="0" fontId="68" fillId="0" borderId="0" xfId="5" applyFont="1"/>
    <xf numFmtId="0" fontId="6" fillId="0" borderId="0" xfId="5" applyFont="1"/>
    <xf numFmtId="14" fontId="6" fillId="41" borderId="0" xfId="5" applyNumberFormat="1" applyFill="1"/>
    <xf numFmtId="0" fontId="26" fillId="3" borderId="0" xfId="5" applyFont="1" applyFill="1"/>
    <xf numFmtId="0" fontId="6" fillId="3" borderId="0" xfId="5" applyFill="1"/>
    <xf numFmtId="0" fontId="6" fillId="41" borderId="0" xfId="5" applyFill="1"/>
    <xf numFmtId="0" fontId="6" fillId="47" borderId="0" xfId="5" applyFont="1" applyFill="1"/>
    <xf numFmtId="0" fontId="6" fillId="0" borderId="0" xfId="5" applyFont="1" applyFill="1"/>
    <xf numFmtId="0" fontId="6" fillId="13" borderId="0" xfId="5" applyFont="1" applyFill="1"/>
    <xf numFmtId="0" fontId="69" fillId="0" borderId="0" xfId="5" applyFont="1"/>
    <xf numFmtId="0" fontId="70" fillId="0" borderId="0" xfId="5" applyFont="1"/>
    <xf numFmtId="9" fontId="0" fillId="3" borderId="0" xfId="1" applyFont="1" applyFill="1"/>
    <xf numFmtId="0" fontId="6" fillId="48" borderId="26" xfId="5" applyFill="1" applyBorder="1" applyAlignment="1">
      <alignment horizontal="center"/>
    </xf>
    <xf numFmtId="0" fontId="6" fillId="48" borderId="26" xfId="5" applyFill="1" applyBorder="1"/>
    <xf numFmtId="0" fontId="44" fillId="48" borderId="12" xfId="5" applyFont="1" applyFill="1" applyBorder="1"/>
    <xf numFmtId="0" fontId="6" fillId="48" borderId="19" xfId="5" applyFill="1" applyBorder="1"/>
    <xf numFmtId="0" fontId="6" fillId="48" borderId="12" xfId="5" applyFill="1" applyBorder="1"/>
    <xf numFmtId="0" fontId="6" fillId="48" borderId="9" xfId="5" applyFill="1" applyBorder="1"/>
    <xf numFmtId="0" fontId="6" fillId="48" borderId="79" xfId="5" applyFill="1" applyBorder="1" applyAlignment="1">
      <alignment horizontal="center"/>
    </xf>
    <xf numFmtId="0" fontId="6" fillId="48" borderId="80" xfId="5" applyFill="1" applyBorder="1" applyAlignment="1">
      <alignment horizontal="center"/>
    </xf>
    <xf numFmtId="0" fontId="6" fillId="48" borderId="80" xfId="5" applyFill="1" applyBorder="1" applyAlignment="1">
      <alignment horizontal="center" shrinkToFit="1"/>
    </xf>
    <xf numFmtId="0" fontId="9" fillId="48" borderId="80" xfId="5" applyFont="1" applyFill="1" applyBorder="1" applyAlignment="1" applyProtection="1">
      <alignment horizontal="center" vertical="center"/>
      <protection locked="0"/>
    </xf>
    <xf numFmtId="178" fontId="6" fillId="48" borderId="80" xfId="5" applyNumberFormat="1" applyFill="1" applyBorder="1"/>
    <xf numFmtId="0" fontId="6" fillId="48" borderId="80" xfId="5" applyFill="1" applyBorder="1"/>
    <xf numFmtId="0" fontId="6" fillId="0" borderId="26" xfId="5" applyBorder="1" applyAlignment="1">
      <alignment horizontal="center"/>
    </xf>
    <xf numFmtId="0" fontId="6" fillId="48" borderId="81" xfId="5" applyFill="1" applyBorder="1" applyAlignment="1">
      <alignment horizontal="center"/>
    </xf>
    <xf numFmtId="190" fontId="6" fillId="0" borderId="65" xfId="5" applyNumberFormat="1" applyBorder="1"/>
    <xf numFmtId="185" fontId="6" fillId="0" borderId="65" xfId="5" applyNumberFormat="1" applyBorder="1"/>
    <xf numFmtId="185" fontId="9" fillId="46" borderId="26" xfId="5" applyNumberFormat="1" applyFont="1" applyFill="1" applyBorder="1" applyAlignment="1" applyProtection="1">
      <alignment horizontal="center" vertical="center"/>
      <protection locked="0"/>
    </xf>
    <xf numFmtId="194" fontId="9" fillId="49" borderId="65" xfId="5" applyNumberFormat="1" applyFont="1" applyFill="1" applyBorder="1" applyAlignment="1" applyProtection="1">
      <alignment horizontal="center" vertical="center"/>
      <protection locked="0"/>
    </xf>
    <xf numFmtId="178" fontId="6" fillId="0" borderId="65" xfId="5" applyNumberFormat="1" applyBorder="1"/>
    <xf numFmtId="2" fontId="67" fillId="2" borderId="65" xfId="5" applyNumberFormat="1" applyFont="1" applyFill="1" applyBorder="1"/>
    <xf numFmtId="178" fontId="67" fillId="0" borderId="65" xfId="5" applyNumberFormat="1" applyFont="1" applyBorder="1"/>
    <xf numFmtId="9" fontId="67" fillId="0" borderId="65" xfId="1" applyFont="1" applyBorder="1"/>
    <xf numFmtId="194" fontId="9" fillId="49" borderId="26" xfId="5" applyNumberFormat="1" applyFont="1" applyFill="1" applyBorder="1" applyAlignment="1" applyProtection="1">
      <alignment horizontal="center" vertical="center"/>
      <protection locked="0"/>
    </xf>
    <xf numFmtId="178" fontId="6" fillId="0" borderId="26" xfId="5" applyNumberFormat="1" applyBorder="1"/>
    <xf numFmtId="2" fontId="67" fillId="2" borderId="26" xfId="5" applyNumberFormat="1" applyFont="1" applyFill="1" applyBorder="1"/>
    <xf numFmtId="178" fontId="67" fillId="0" borderId="26" xfId="5" applyNumberFormat="1" applyFont="1" applyBorder="1"/>
    <xf numFmtId="185" fontId="8" fillId="46" borderId="26" xfId="5" applyNumberFormat="1" applyFont="1" applyFill="1" applyBorder="1" applyAlignment="1" applyProtection="1">
      <alignment horizontal="center" vertical="center"/>
      <protection locked="0"/>
    </xf>
    <xf numFmtId="194" fontId="8" fillId="49" borderId="26" xfId="5" applyNumberFormat="1" applyFont="1" applyFill="1" applyBorder="1" applyAlignment="1" applyProtection="1">
      <alignment horizontal="center" vertical="center"/>
      <protection locked="0"/>
    </xf>
    <xf numFmtId="178" fontId="44" fillId="0" borderId="26" xfId="5" applyNumberFormat="1" applyFont="1" applyBorder="1"/>
    <xf numFmtId="2" fontId="69" fillId="2" borderId="26" xfId="5" applyNumberFormat="1" applyFont="1" applyFill="1" applyBorder="1"/>
    <xf numFmtId="178" fontId="69" fillId="0" borderId="26" xfId="5" applyNumberFormat="1" applyFont="1" applyBorder="1"/>
    <xf numFmtId="9" fontId="69" fillId="0" borderId="65" xfId="1" applyFont="1" applyBorder="1"/>
    <xf numFmtId="178" fontId="6" fillId="0" borderId="26" xfId="5" applyNumberFormat="1" applyFont="1" applyBorder="1"/>
    <xf numFmtId="185" fontId="6" fillId="0" borderId="0" xfId="5" applyNumberFormat="1"/>
    <xf numFmtId="178" fontId="6" fillId="0" borderId="0" xfId="5" applyNumberFormat="1"/>
    <xf numFmtId="185" fontId="44" fillId="48" borderId="12" xfId="5" applyNumberFormat="1" applyFont="1" applyFill="1" applyBorder="1"/>
    <xf numFmtId="178" fontId="6" fillId="48" borderId="12" xfId="5" applyNumberFormat="1" applyFill="1" applyBorder="1"/>
    <xf numFmtId="178" fontId="6" fillId="48" borderId="19" xfId="5" applyNumberFormat="1" applyFill="1" applyBorder="1"/>
    <xf numFmtId="185" fontId="9" fillId="48" borderId="80" xfId="5" applyNumberFormat="1" applyFont="1" applyFill="1" applyBorder="1" applyAlignment="1" applyProtection="1">
      <alignment horizontal="center" vertical="center"/>
      <protection locked="0"/>
    </xf>
    <xf numFmtId="177" fontId="0" fillId="0" borderId="65" xfId="1" applyNumberFormat="1" applyFont="1" applyBorder="1"/>
    <xf numFmtId="190" fontId="6" fillId="0" borderId="26" xfId="5" applyNumberFormat="1" applyBorder="1"/>
    <xf numFmtId="185" fontId="6" fillId="0" borderId="26" xfId="5" applyNumberFormat="1" applyBorder="1"/>
    <xf numFmtId="177" fontId="0" fillId="0" borderId="26" xfId="1" applyNumberFormat="1" applyFont="1" applyBorder="1"/>
    <xf numFmtId="9" fontId="67" fillId="0" borderId="26" xfId="1" applyFont="1" applyBorder="1"/>
    <xf numFmtId="0" fontId="6" fillId="0" borderId="0" xfId="5" applyAlignment="1">
      <alignment horizontal="right"/>
    </xf>
    <xf numFmtId="11" fontId="27" fillId="0" borderId="0" xfId="5" applyNumberFormat="1" applyFont="1" applyFill="1" applyAlignment="1" applyProtection="1">
      <alignment vertical="center"/>
      <protection locked="0"/>
    </xf>
    <xf numFmtId="190" fontId="44" fillId="0" borderId="26" xfId="5" applyNumberFormat="1" applyFont="1" applyBorder="1"/>
    <xf numFmtId="185" fontId="44" fillId="0" borderId="26" xfId="5" applyNumberFormat="1" applyFont="1" applyBorder="1"/>
    <xf numFmtId="194" fontId="8" fillId="49" borderId="65" xfId="5" applyNumberFormat="1" applyFont="1" applyFill="1" applyBorder="1" applyAlignment="1" applyProtection="1">
      <alignment horizontal="center" vertical="center"/>
      <protection locked="0"/>
    </xf>
    <xf numFmtId="177" fontId="44" fillId="0" borderId="26" xfId="1" applyNumberFormat="1" applyFont="1" applyBorder="1"/>
    <xf numFmtId="9" fontId="69" fillId="0" borderId="26" xfId="1" applyFont="1" applyBorder="1"/>
    <xf numFmtId="190" fontId="6" fillId="0" borderId="26" xfId="5" applyNumberFormat="1" applyFont="1" applyBorder="1"/>
    <xf numFmtId="185" fontId="6" fillId="0" borderId="26" xfId="5" applyNumberFormat="1" applyFont="1" applyBorder="1"/>
    <xf numFmtId="177" fontId="6" fillId="0" borderId="26" xfId="1" applyNumberFormat="1" applyFont="1" applyBorder="1"/>
    <xf numFmtId="179" fontId="6" fillId="0" borderId="26" xfId="5" applyNumberFormat="1" applyBorder="1"/>
    <xf numFmtId="180" fontId="6" fillId="0" borderId="26" xfId="5" applyNumberFormat="1" applyBorder="1"/>
    <xf numFmtId="179" fontId="67" fillId="2" borderId="65" xfId="5" applyNumberFormat="1" applyFont="1" applyFill="1" applyBorder="1"/>
    <xf numFmtId="179" fontId="67" fillId="2" borderId="26" xfId="5" applyNumberFormat="1" applyFont="1" applyFill="1" applyBorder="1"/>
    <xf numFmtId="180" fontId="44" fillId="0" borderId="26" xfId="5" applyNumberFormat="1" applyFont="1" applyBorder="1"/>
    <xf numFmtId="179" fontId="69" fillId="2" borderId="26" xfId="5" applyNumberFormat="1" applyFont="1" applyFill="1" applyBorder="1"/>
    <xf numFmtId="0" fontId="44" fillId="50" borderId="0" xfId="5" applyFont="1" applyFill="1"/>
    <xf numFmtId="0" fontId="6" fillId="50" borderId="0" xfId="5" applyFill="1"/>
    <xf numFmtId="0" fontId="6" fillId="50" borderId="21" xfId="5" applyFill="1" applyBorder="1"/>
    <xf numFmtId="0" fontId="6" fillId="50" borderId="38" xfId="5" applyFill="1" applyBorder="1"/>
    <xf numFmtId="0" fontId="6" fillId="0" borderId="0" xfId="5" applyBorder="1" applyAlignment="1">
      <alignment horizontal="center"/>
    </xf>
    <xf numFmtId="0" fontId="6" fillId="0" borderId="0" xfId="5" applyFill="1" applyBorder="1" applyAlignment="1">
      <alignment horizontal="center"/>
    </xf>
    <xf numFmtId="0" fontId="6" fillId="0" borderId="26" xfId="5" applyBorder="1"/>
    <xf numFmtId="195" fontId="6" fillId="13" borderId="49" xfId="5" applyNumberFormat="1" applyFont="1" applyFill="1" applyBorder="1"/>
    <xf numFmtId="195" fontId="6" fillId="13" borderId="48" xfId="5" applyNumberFormat="1" applyFont="1" applyFill="1" applyBorder="1"/>
    <xf numFmtId="0" fontId="6" fillId="50" borderId="26" xfId="5" applyFill="1" applyBorder="1"/>
    <xf numFmtId="195" fontId="6" fillId="13" borderId="40" xfId="5" applyNumberFormat="1" applyFont="1" applyFill="1" applyBorder="1"/>
    <xf numFmtId="195" fontId="6" fillId="13" borderId="39" xfId="5" applyNumberFormat="1" applyFont="1" applyFill="1" applyBorder="1"/>
    <xf numFmtId="0" fontId="6" fillId="0" borderId="12" xfId="5" applyBorder="1"/>
    <xf numFmtId="0" fontId="6" fillId="50" borderId="12" xfId="5" applyFill="1" applyBorder="1"/>
    <xf numFmtId="195" fontId="6" fillId="13" borderId="43" xfId="5" applyNumberFormat="1" applyFont="1" applyFill="1" applyBorder="1"/>
    <xf numFmtId="195" fontId="6" fillId="13" borderId="42" xfId="5" applyNumberFormat="1" applyFont="1" applyFill="1" applyBorder="1"/>
    <xf numFmtId="0" fontId="6" fillId="0" borderId="79" xfId="5" applyBorder="1"/>
    <xf numFmtId="0" fontId="6" fillId="50" borderId="25" xfId="5" applyFill="1" applyBorder="1"/>
    <xf numFmtId="0" fontId="6" fillId="50" borderId="24" xfId="5" applyFill="1" applyBorder="1"/>
    <xf numFmtId="0" fontId="6" fillId="50" borderId="27" xfId="5" applyFill="1" applyBorder="1"/>
    <xf numFmtId="0" fontId="6" fillId="50" borderId="82" xfId="5" applyFill="1" applyBorder="1"/>
    <xf numFmtId="0" fontId="6" fillId="50" borderId="57" xfId="5" applyFill="1" applyBorder="1"/>
    <xf numFmtId="0" fontId="6" fillId="50" borderId="70" xfId="5" applyFill="1" applyBorder="1"/>
    <xf numFmtId="0" fontId="71" fillId="0" borderId="0" xfId="5" applyFont="1"/>
    <xf numFmtId="14" fontId="6" fillId="0" borderId="0" xfId="5" applyNumberFormat="1"/>
    <xf numFmtId="9" fontId="6" fillId="3" borderId="0" xfId="1" applyFill="1"/>
    <xf numFmtId="0" fontId="6" fillId="51" borderId="26" xfId="5" applyFill="1" applyBorder="1" applyAlignment="1">
      <alignment horizontal="center"/>
    </xf>
    <xf numFmtId="0" fontId="6" fillId="51" borderId="26" xfId="5" applyFill="1" applyBorder="1"/>
    <xf numFmtId="0" fontId="44" fillId="51" borderId="12" xfId="5" applyFont="1" applyFill="1" applyBorder="1"/>
    <xf numFmtId="0" fontId="6" fillId="51" borderId="19" xfId="5" applyFill="1" applyBorder="1"/>
    <xf numFmtId="0" fontId="6" fillId="51" borderId="12" xfId="5" applyFill="1" applyBorder="1"/>
    <xf numFmtId="0" fontId="6" fillId="51" borderId="9" xfId="5" applyFill="1" applyBorder="1"/>
    <xf numFmtId="0" fontId="6" fillId="51" borderId="79" xfId="5" applyFill="1" applyBorder="1" applyAlignment="1">
      <alignment horizontal="center"/>
    </xf>
    <xf numFmtId="0" fontId="6" fillId="51" borderId="80" xfId="5" applyFill="1" applyBorder="1" applyAlignment="1">
      <alignment horizontal="center"/>
    </xf>
    <xf numFmtId="0" fontId="6" fillId="51" borderId="80" xfId="5" applyFill="1" applyBorder="1" applyAlignment="1">
      <alignment horizontal="center" shrinkToFit="1"/>
    </xf>
    <xf numFmtId="0" fontId="9" fillId="51" borderId="80" xfId="5" applyFont="1" applyFill="1" applyBorder="1" applyAlignment="1" applyProtection="1">
      <alignment horizontal="center" vertical="center"/>
      <protection locked="0"/>
    </xf>
    <xf numFmtId="0" fontId="6" fillId="51" borderId="80" xfId="5" applyFill="1" applyBorder="1"/>
    <xf numFmtId="194" fontId="6" fillId="50" borderId="65" xfId="5" applyNumberFormat="1" applyFill="1" applyBorder="1" applyAlignment="1" applyProtection="1">
      <alignment horizontal="center" vertical="center"/>
      <protection locked="0"/>
    </xf>
    <xf numFmtId="0" fontId="6" fillId="51" borderId="81" xfId="5" applyFill="1" applyBorder="1" applyAlignment="1">
      <alignment horizontal="center"/>
    </xf>
    <xf numFmtId="185" fontId="9" fillId="49" borderId="65" xfId="5" quotePrefix="1" applyNumberFormat="1" applyFont="1" applyFill="1" applyBorder="1" applyAlignment="1" applyProtection="1">
      <alignment horizontal="center" vertical="center"/>
      <protection locked="0"/>
    </xf>
    <xf numFmtId="194" fontId="9" fillId="0" borderId="65" xfId="5" applyNumberFormat="1" applyFont="1" applyBorder="1" applyAlignment="1" applyProtection="1">
      <alignment horizontal="center" vertical="center"/>
      <protection locked="0"/>
    </xf>
    <xf numFmtId="180" fontId="67" fillId="2" borderId="65" xfId="5" applyNumberFormat="1" applyFont="1" applyFill="1" applyBorder="1"/>
    <xf numFmtId="185" fontId="8" fillId="49" borderId="26" xfId="5" applyNumberFormat="1" applyFont="1" applyFill="1" applyBorder="1" applyAlignment="1" applyProtection="1">
      <alignment horizontal="center" vertical="center"/>
      <protection locked="0"/>
    </xf>
    <xf numFmtId="194" fontId="8" fillId="0" borderId="65" xfId="5" applyNumberFormat="1" applyFont="1" applyBorder="1" applyAlignment="1" applyProtection="1">
      <alignment horizontal="center" vertical="center"/>
      <protection locked="0"/>
    </xf>
    <xf numFmtId="180" fontId="69" fillId="2" borderId="26" xfId="5" applyNumberFormat="1" applyFont="1" applyFill="1" applyBorder="1"/>
    <xf numFmtId="185" fontId="9" fillId="49" borderId="26" xfId="5" applyNumberFormat="1" applyFont="1" applyFill="1" applyBorder="1" applyAlignment="1" applyProtection="1">
      <alignment horizontal="center" vertical="center"/>
      <protection locked="0"/>
    </xf>
    <xf numFmtId="180" fontId="67" fillId="2" borderId="26" xfId="5" applyNumberFormat="1" applyFont="1" applyFill="1" applyBorder="1"/>
    <xf numFmtId="183" fontId="9" fillId="49" borderId="26" xfId="5" applyNumberFormat="1" applyFont="1" applyFill="1" applyBorder="1" applyAlignment="1" applyProtection="1">
      <alignment horizontal="center" vertical="center"/>
      <protection locked="0"/>
    </xf>
    <xf numFmtId="196" fontId="6" fillId="0" borderId="0" xfId="5" applyNumberFormat="1" applyBorder="1"/>
    <xf numFmtId="0" fontId="6" fillId="0" borderId="0" xfId="5" applyBorder="1"/>
    <xf numFmtId="9" fontId="6" fillId="3" borderId="19" xfId="1" applyFont="1" applyFill="1" applyBorder="1"/>
    <xf numFmtId="180" fontId="6" fillId="0" borderId="26" xfId="5" applyNumberFormat="1" applyFont="1" applyBorder="1"/>
    <xf numFmtId="0" fontId="6" fillId="0" borderId="0" xfId="5" applyFill="1" applyAlignment="1">
      <alignment horizontal="center"/>
    </xf>
    <xf numFmtId="179" fontId="6" fillId="0" borderId="0" xfId="5" applyNumberFormat="1" applyFill="1"/>
    <xf numFmtId="0" fontId="44" fillId="0" borderId="0" xfId="5" applyFont="1"/>
    <xf numFmtId="0" fontId="6" fillId="0" borderId="26" xfId="5" applyFont="1" applyBorder="1"/>
    <xf numFmtId="0" fontId="6" fillId="2" borderId="26" xfId="5" applyFont="1" applyFill="1" applyBorder="1" applyAlignment="1">
      <alignment horizontal="center"/>
    </xf>
    <xf numFmtId="0" fontId="72" fillId="0" borderId="0" xfId="5" applyFont="1"/>
    <xf numFmtId="0" fontId="72" fillId="0" borderId="26" xfId="5" applyFont="1" applyFill="1" applyBorder="1"/>
    <xf numFmtId="0" fontId="72" fillId="0" borderId="26" xfId="5" applyFont="1" applyBorder="1" applyAlignment="1">
      <alignment horizontal="center"/>
    </xf>
    <xf numFmtId="0" fontId="72" fillId="0" borderId="0" xfId="5" applyFont="1" applyBorder="1" applyAlignment="1">
      <alignment horizontal="center"/>
    </xf>
    <xf numFmtId="197" fontId="73" fillId="0" borderId="0" xfId="5" applyNumberFormat="1" applyFont="1"/>
    <xf numFmtId="0" fontId="72" fillId="0" borderId="26" xfId="5" applyFont="1" applyBorder="1"/>
    <xf numFmtId="178" fontId="72" fillId="0" borderId="26" xfId="5" applyNumberFormat="1" applyFont="1" applyBorder="1"/>
    <xf numFmtId="198" fontId="74" fillId="0" borderId="26" xfId="2" applyNumberFormat="1" applyFont="1" applyBorder="1"/>
    <xf numFmtId="199" fontId="73" fillId="0" borderId="26" xfId="1" applyNumberFormat="1" applyFont="1" applyBorder="1"/>
    <xf numFmtId="0" fontId="75" fillId="2" borderId="85" xfId="5" applyFont="1" applyFill="1" applyBorder="1" applyAlignment="1">
      <alignment horizontal="center" vertical="center"/>
    </xf>
    <xf numFmtId="0" fontId="75" fillId="2" borderId="84" xfId="5" applyFont="1" applyFill="1" applyBorder="1" applyAlignment="1">
      <alignment horizontal="center" vertical="center"/>
    </xf>
    <xf numFmtId="0" fontId="75" fillId="2" borderId="86" xfId="5" applyFont="1" applyFill="1" applyBorder="1" applyAlignment="1">
      <alignment horizontal="center" vertical="center"/>
    </xf>
    <xf numFmtId="0" fontId="76" fillId="50" borderId="87" xfId="5" applyFont="1" applyFill="1" applyBorder="1" applyAlignment="1">
      <alignment horizontal="center"/>
    </xf>
    <xf numFmtId="179" fontId="77" fillId="0" borderId="22" xfId="5" applyNumberFormat="1" applyFont="1" applyFill="1" applyBorder="1" applyAlignment="1">
      <alignment horizontal="center"/>
    </xf>
    <xf numFmtId="179" fontId="77" fillId="0" borderId="88" xfId="5" applyNumberFormat="1" applyFont="1" applyFill="1" applyBorder="1" applyAlignment="1">
      <alignment horizontal="center"/>
    </xf>
    <xf numFmtId="0" fontId="75" fillId="2" borderId="90" xfId="5" applyFont="1" applyFill="1" applyBorder="1" applyAlignment="1">
      <alignment horizontal="center" vertical="center"/>
    </xf>
    <xf numFmtId="180" fontId="75" fillId="2" borderId="91" xfId="5" applyNumberFormat="1" applyFont="1" applyFill="1" applyBorder="1" applyAlignment="1">
      <alignment horizontal="center" vertical="center"/>
    </xf>
    <xf numFmtId="180" fontId="75" fillId="2" borderId="92" xfId="5" applyNumberFormat="1" applyFont="1" applyFill="1" applyBorder="1" applyAlignment="1">
      <alignment horizontal="center" vertical="center"/>
    </xf>
    <xf numFmtId="0" fontId="75" fillId="2" borderId="94" xfId="5" applyFont="1" applyFill="1" applyBorder="1" applyAlignment="1">
      <alignment horizontal="center" vertical="center"/>
    </xf>
    <xf numFmtId="180" fontId="75" fillId="2" borderId="95" xfId="5" applyNumberFormat="1" applyFont="1" applyFill="1" applyBorder="1" applyAlignment="1">
      <alignment horizontal="center" vertical="center"/>
    </xf>
    <xf numFmtId="180" fontId="75" fillId="2" borderId="96" xfId="5" applyNumberFormat="1" applyFont="1" applyFill="1" applyBorder="1" applyAlignment="1">
      <alignment horizontal="center" vertical="center"/>
    </xf>
    <xf numFmtId="0" fontId="77" fillId="0" borderId="68" xfId="5" applyFont="1" applyFill="1" applyBorder="1" applyAlignment="1">
      <alignment horizontal="center"/>
    </xf>
    <xf numFmtId="180" fontId="50" fillId="0" borderId="49" xfId="5" applyNumberFormat="1" applyFont="1" applyFill="1" applyBorder="1" applyAlignment="1">
      <alignment horizontal="center"/>
    </xf>
    <xf numFmtId="180" fontId="50" fillId="0" borderId="48" xfId="5" applyNumberFormat="1" applyFont="1" applyFill="1" applyBorder="1" applyAlignment="1">
      <alignment horizontal="center"/>
    </xf>
    <xf numFmtId="0" fontId="75" fillId="2" borderId="97" xfId="5" applyFont="1" applyFill="1" applyBorder="1" applyAlignment="1">
      <alignment horizontal="center" vertical="center"/>
    </xf>
    <xf numFmtId="0" fontId="77" fillId="0" borderId="17" xfId="5" applyFont="1" applyFill="1" applyBorder="1" applyAlignment="1">
      <alignment horizontal="center"/>
    </xf>
    <xf numFmtId="180" fontId="50" fillId="0" borderId="40" xfId="5" applyNumberFormat="1" applyFont="1" applyFill="1" applyBorder="1" applyAlignment="1">
      <alignment horizontal="center"/>
    </xf>
    <xf numFmtId="180" fontId="50" fillId="0" borderId="39" xfId="5" applyNumberFormat="1" applyFont="1" applyFill="1" applyBorder="1" applyAlignment="1">
      <alignment horizontal="center"/>
    </xf>
    <xf numFmtId="0" fontId="75" fillId="2" borderId="98" xfId="5" applyFont="1" applyFill="1" applyBorder="1" applyAlignment="1">
      <alignment horizontal="center" vertical="center"/>
    </xf>
    <xf numFmtId="180" fontId="75" fillId="2" borderId="99" xfId="5" applyNumberFormat="1" applyFont="1" applyFill="1" applyBorder="1" applyAlignment="1">
      <alignment horizontal="center" vertical="center"/>
    </xf>
    <xf numFmtId="180" fontId="75" fillId="2" borderId="100" xfId="5" applyNumberFormat="1" applyFont="1" applyFill="1" applyBorder="1" applyAlignment="1">
      <alignment horizontal="center" vertical="center"/>
    </xf>
    <xf numFmtId="0" fontId="77" fillId="0" borderId="18" xfId="5" applyFont="1" applyFill="1" applyBorder="1" applyAlignment="1">
      <alignment horizontal="center"/>
    </xf>
    <xf numFmtId="180" fontId="50" fillId="0" borderId="43" xfId="5" applyNumberFormat="1" applyFont="1" applyFill="1" applyBorder="1" applyAlignment="1">
      <alignment horizontal="center"/>
    </xf>
    <xf numFmtId="180" fontId="50" fillId="0" borderId="42" xfId="5" applyNumberFormat="1" applyFont="1" applyFill="1" applyBorder="1" applyAlignment="1">
      <alignment horizontal="center"/>
    </xf>
    <xf numFmtId="0" fontId="75" fillId="2" borderId="0" xfId="5" applyFont="1" applyFill="1" applyBorder="1" applyAlignment="1">
      <alignment horizontal="center" vertical="center"/>
    </xf>
    <xf numFmtId="180" fontId="78" fillId="2" borderId="0" xfId="5" applyNumberFormat="1" applyFont="1" applyFill="1" applyBorder="1" applyAlignment="1">
      <alignment horizontal="center" vertical="center"/>
    </xf>
    <xf numFmtId="0" fontId="77" fillId="0" borderId="0" xfId="5" applyFont="1" applyFill="1"/>
    <xf numFmtId="0" fontId="79" fillId="0" borderId="0" xfId="5" applyFont="1" applyFill="1" applyBorder="1" applyAlignment="1">
      <alignment horizontal="center"/>
    </xf>
    <xf numFmtId="191" fontId="79" fillId="0" borderId="0" xfId="5" applyNumberFormat="1" applyFont="1" applyFill="1" applyBorder="1" applyAlignment="1">
      <alignment horizontal="center"/>
    </xf>
    <xf numFmtId="0" fontId="76" fillId="52" borderId="87" xfId="5" applyFont="1" applyFill="1" applyBorder="1" applyAlignment="1">
      <alignment horizontal="center"/>
    </xf>
    <xf numFmtId="180" fontId="75" fillId="0" borderId="95" xfId="5" applyNumberFormat="1" applyFont="1" applyFill="1" applyBorder="1" applyAlignment="1">
      <alignment horizontal="center" vertical="center"/>
    </xf>
    <xf numFmtId="180" fontId="75" fillId="0" borderId="96" xfId="5" applyNumberFormat="1" applyFont="1" applyFill="1" applyBorder="1" applyAlignment="1">
      <alignment horizontal="center" vertical="center"/>
    </xf>
    <xf numFmtId="0" fontId="77" fillId="0" borderId="0" xfId="5" applyFont="1" applyFill="1" applyBorder="1" applyAlignment="1">
      <alignment horizontal="center"/>
    </xf>
    <xf numFmtId="180" fontId="79" fillId="0" borderId="0" xfId="5" applyNumberFormat="1" applyFont="1" applyFill="1" applyBorder="1" applyAlignment="1">
      <alignment horizontal="center"/>
    </xf>
    <xf numFmtId="0" fontId="76" fillId="53" borderId="25" xfId="5" applyFont="1" applyFill="1" applyBorder="1" applyAlignment="1">
      <alignment horizontal="center"/>
    </xf>
    <xf numFmtId="179" fontId="77" fillId="0" borderId="101" xfId="5" applyNumberFormat="1" applyFont="1" applyFill="1" applyBorder="1" applyAlignment="1">
      <alignment horizontal="center"/>
    </xf>
    <xf numFmtId="0" fontId="75" fillId="2" borderId="102" xfId="5" applyFont="1" applyFill="1" applyBorder="1" applyAlignment="1">
      <alignment horizontal="center" vertical="center"/>
    </xf>
    <xf numFmtId="180" fontId="75" fillId="2" borderId="103" xfId="5" applyNumberFormat="1" applyFont="1" applyFill="1" applyBorder="1" applyAlignment="1">
      <alignment horizontal="center" vertical="center"/>
    </xf>
    <xf numFmtId="180" fontId="75" fillId="2" borderId="104" xfId="5" applyNumberFormat="1" applyFont="1" applyFill="1" applyBorder="1" applyAlignment="1">
      <alignment horizontal="center" vertical="center"/>
    </xf>
    <xf numFmtId="0" fontId="80" fillId="0" borderId="0" xfId="5" applyFont="1" applyFill="1" applyBorder="1" applyAlignment="1">
      <alignment horizontal="center"/>
    </xf>
    <xf numFmtId="0" fontId="76" fillId="4" borderId="87" xfId="5" applyFont="1" applyFill="1" applyBorder="1" applyAlignment="1">
      <alignment horizontal="center"/>
    </xf>
    <xf numFmtId="180" fontId="77" fillId="0" borderId="88" xfId="5" applyNumberFormat="1" applyFont="1" applyFill="1" applyBorder="1" applyAlignment="1">
      <alignment horizontal="center"/>
    </xf>
    <xf numFmtId="0" fontId="76" fillId="54" borderId="25" xfId="5" applyFont="1" applyFill="1" applyBorder="1" applyAlignment="1">
      <alignment horizontal="center"/>
    </xf>
    <xf numFmtId="180" fontId="75" fillId="0" borderId="103" xfId="5" applyNumberFormat="1" applyFont="1" applyFill="1" applyBorder="1" applyAlignment="1">
      <alignment horizontal="center" vertical="center"/>
    </xf>
    <xf numFmtId="180" fontId="75" fillId="0" borderId="104" xfId="5" applyNumberFormat="1" applyFont="1" applyFill="1" applyBorder="1" applyAlignment="1">
      <alignment horizontal="center" vertical="center"/>
    </xf>
    <xf numFmtId="180" fontId="75" fillId="0" borderId="99" xfId="5" applyNumberFormat="1" applyFont="1" applyFill="1" applyBorder="1" applyAlignment="1">
      <alignment horizontal="center" vertical="center"/>
    </xf>
    <xf numFmtId="180" fontId="75" fillId="0" borderId="100" xfId="5" applyNumberFormat="1" applyFont="1" applyFill="1" applyBorder="1" applyAlignment="1">
      <alignment horizontal="center" vertical="center"/>
    </xf>
    <xf numFmtId="180" fontId="71" fillId="0" borderId="0" xfId="5" applyNumberFormat="1" applyFont="1"/>
    <xf numFmtId="0" fontId="6" fillId="49" borderId="26" xfId="5" applyFill="1" applyBorder="1"/>
    <xf numFmtId="0" fontId="6" fillId="0" borderId="26" xfId="5" applyBorder="1" applyAlignment="1">
      <alignment horizontal="right"/>
    </xf>
    <xf numFmtId="0" fontId="6" fillId="49" borderId="26" xfId="5" applyFill="1" applyBorder="1" applyAlignment="1">
      <alignment horizontal="right"/>
    </xf>
    <xf numFmtId="195" fontId="6" fillId="0" borderId="26" xfId="5" applyNumberFormat="1" applyBorder="1" applyAlignment="1">
      <alignment horizontal="right"/>
    </xf>
    <xf numFmtId="0" fontId="81" fillId="0" borderId="72" xfId="5" applyFont="1" applyFill="1" applyBorder="1"/>
    <xf numFmtId="0" fontId="81" fillId="0" borderId="72" xfId="5" applyFont="1" applyBorder="1" applyAlignment="1">
      <alignment horizontal="right"/>
    </xf>
    <xf numFmtId="0" fontId="81" fillId="0" borderId="0" xfId="5" applyFont="1"/>
    <xf numFmtId="0" fontId="81" fillId="49" borderId="0" xfId="5" applyFont="1" applyFill="1"/>
    <xf numFmtId="0" fontId="6" fillId="0" borderId="105" xfId="5" applyBorder="1"/>
    <xf numFmtId="0" fontId="6" fillId="0" borderId="106" xfId="5" applyBorder="1"/>
    <xf numFmtId="0" fontId="6" fillId="0" borderId="107" xfId="5" applyBorder="1"/>
    <xf numFmtId="0" fontId="6" fillId="0" borderId="108" xfId="5" applyBorder="1"/>
    <xf numFmtId="0" fontId="6" fillId="0" borderId="1" xfId="5" applyBorder="1" applyAlignment="1">
      <alignment horizontal="center"/>
    </xf>
    <xf numFmtId="0" fontId="6" fillId="0" borderId="109" xfId="5" applyBorder="1"/>
    <xf numFmtId="0" fontId="6" fillId="0" borderId="5" xfId="5" applyBorder="1"/>
    <xf numFmtId="0" fontId="6" fillId="0" borderId="7" xfId="5" applyBorder="1"/>
    <xf numFmtId="0" fontId="6" fillId="0" borderId="110" xfId="5" applyBorder="1"/>
    <xf numFmtId="0" fontId="6" fillId="0" borderId="50" xfId="5" applyBorder="1" applyAlignment="1">
      <alignment horizontal="center"/>
    </xf>
    <xf numFmtId="0" fontId="6" fillId="0" borderId="49" xfId="5" applyBorder="1"/>
    <xf numFmtId="0" fontId="6" fillId="0" borderId="52" xfId="5" applyBorder="1"/>
    <xf numFmtId="0" fontId="6" fillId="0" borderId="48" xfId="5" applyBorder="1"/>
    <xf numFmtId="0" fontId="6" fillId="0" borderId="111" xfId="5" applyBorder="1" applyAlignment="1">
      <alignment horizontal="center"/>
    </xf>
    <xf numFmtId="0" fontId="6" fillId="0" borderId="112" xfId="5" applyBorder="1"/>
    <xf numFmtId="0" fontId="6" fillId="0" borderId="113" xfId="5" applyBorder="1"/>
    <xf numFmtId="0" fontId="6" fillId="0" borderId="114" xfId="5" applyBorder="1"/>
    <xf numFmtId="0" fontId="6" fillId="0" borderId="115" xfId="5" applyBorder="1"/>
    <xf numFmtId="0" fontId="6" fillId="0" borderId="116" xfId="5" applyBorder="1"/>
    <xf numFmtId="0" fontId="6" fillId="0" borderId="117" xfId="5" applyBorder="1"/>
    <xf numFmtId="0" fontId="6" fillId="2" borderId="12" xfId="5" applyFill="1" applyBorder="1"/>
    <xf numFmtId="0" fontId="6" fillId="2" borderId="9" xfId="5" applyFill="1" applyBorder="1"/>
    <xf numFmtId="0" fontId="82" fillId="0" borderId="0" xfId="5" applyFont="1"/>
    <xf numFmtId="195" fontId="6" fillId="0" borderId="49" xfId="5" applyNumberFormat="1" applyBorder="1"/>
    <xf numFmtId="195" fontId="6" fillId="0" borderId="48" xfId="5" applyNumberFormat="1" applyBorder="1"/>
    <xf numFmtId="195" fontId="6" fillId="0" borderId="40" xfId="5" applyNumberFormat="1" applyFill="1" applyBorder="1"/>
    <xf numFmtId="195" fontId="6" fillId="0" borderId="39" xfId="5" applyNumberFormat="1" applyFill="1" applyBorder="1"/>
    <xf numFmtId="195" fontId="6" fillId="0" borderId="43" xfId="5" applyNumberFormat="1" applyFill="1" applyBorder="1"/>
    <xf numFmtId="195" fontId="6" fillId="0" borderId="42" xfId="5" applyNumberFormat="1" applyFill="1" applyBorder="1"/>
    <xf numFmtId="195" fontId="6" fillId="0" borderId="52" xfId="5" applyNumberFormat="1" applyFill="1" applyBorder="1"/>
    <xf numFmtId="195" fontId="6" fillId="0" borderId="69" xfId="5" applyNumberFormat="1" applyFill="1" applyBorder="1"/>
    <xf numFmtId="0" fontId="6" fillId="55" borderId="0" xfId="5" applyFill="1"/>
    <xf numFmtId="0" fontId="6" fillId="2" borderId="21" xfId="5" applyFill="1" applyBorder="1"/>
    <xf numFmtId="0" fontId="6" fillId="2" borderId="38" xfId="5" applyFill="1" applyBorder="1"/>
    <xf numFmtId="0" fontId="6" fillId="46" borderId="21" xfId="5" applyFill="1" applyBorder="1"/>
    <xf numFmtId="0" fontId="6" fillId="46" borderId="3" xfId="5" applyFill="1" applyBorder="1"/>
    <xf numFmtId="0" fontId="6" fillId="55" borderId="26" xfId="5" applyFill="1" applyBorder="1"/>
    <xf numFmtId="0" fontId="77" fillId="55" borderId="0" xfId="5" applyFont="1" applyFill="1" applyBorder="1" applyAlignment="1">
      <alignment horizontal="center"/>
    </xf>
    <xf numFmtId="179" fontId="79" fillId="55" borderId="0" xfId="5" applyNumberFormat="1" applyFont="1" applyFill="1" applyBorder="1" applyAlignment="1">
      <alignment horizontal="center"/>
    </xf>
    <xf numFmtId="0" fontId="6" fillId="46" borderId="0" xfId="5" applyFill="1" applyBorder="1" applyAlignment="1">
      <alignment horizontal="center"/>
    </xf>
    <xf numFmtId="0" fontId="76" fillId="55" borderId="25" xfId="5" applyFont="1" applyFill="1" applyBorder="1" applyAlignment="1">
      <alignment horizontal="center"/>
    </xf>
    <xf numFmtId="179" fontId="77" fillId="55" borderId="101" xfId="5" applyNumberFormat="1" applyFont="1" applyFill="1" applyBorder="1" applyAlignment="1">
      <alignment horizontal="center"/>
    </xf>
    <xf numFmtId="179" fontId="77" fillId="55" borderId="88" xfId="5" applyNumberFormat="1" applyFont="1" applyFill="1" applyBorder="1" applyAlignment="1">
      <alignment horizontal="center"/>
    </xf>
    <xf numFmtId="195" fontId="6" fillId="46" borderId="49" xfId="5" applyNumberFormat="1" applyFill="1" applyBorder="1"/>
    <xf numFmtId="195" fontId="6" fillId="46" borderId="118" xfId="5" applyNumberFormat="1" applyFill="1" applyBorder="1"/>
    <xf numFmtId="0" fontId="77" fillId="55" borderId="68" xfId="5" applyFont="1" applyFill="1" applyBorder="1" applyAlignment="1">
      <alignment horizontal="center"/>
    </xf>
    <xf numFmtId="0" fontId="50" fillId="55" borderId="49" xfId="5" applyFont="1" applyFill="1" applyBorder="1" applyAlignment="1">
      <alignment horizontal="center"/>
    </xf>
    <xf numFmtId="0" fontId="50" fillId="55" borderId="48" xfId="5" applyFont="1" applyFill="1" applyBorder="1" applyAlignment="1">
      <alignment horizontal="center"/>
    </xf>
    <xf numFmtId="195" fontId="6" fillId="46" borderId="40" xfId="5" applyNumberFormat="1" applyFill="1" applyBorder="1"/>
    <xf numFmtId="195" fontId="6" fillId="46" borderId="12" xfId="5" applyNumberFormat="1" applyFill="1" applyBorder="1"/>
    <xf numFmtId="0" fontId="77" fillId="55" borderId="17" xfId="5" applyFont="1" applyFill="1" applyBorder="1" applyAlignment="1">
      <alignment horizontal="center"/>
    </xf>
    <xf numFmtId="0" fontId="50" fillId="55" borderId="40" xfId="5" applyFont="1" applyFill="1" applyBorder="1" applyAlignment="1">
      <alignment horizontal="center"/>
    </xf>
    <xf numFmtId="0" fontId="50" fillId="55" borderId="39" xfId="5" applyFont="1" applyFill="1" applyBorder="1" applyAlignment="1">
      <alignment horizontal="center"/>
    </xf>
    <xf numFmtId="180" fontId="50" fillId="55" borderId="39" xfId="5" applyNumberFormat="1" applyFont="1" applyFill="1" applyBorder="1" applyAlignment="1">
      <alignment horizontal="center"/>
    </xf>
    <xf numFmtId="195" fontId="6" fillId="46" borderId="43" xfId="5" applyNumberFormat="1" applyFill="1" applyBorder="1"/>
    <xf numFmtId="195" fontId="6" fillId="46" borderId="14" xfId="5" applyNumberFormat="1" applyFill="1" applyBorder="1"/>
    <xf numFmtId="0" fontId="77" fillId="55" borderId="18" xfId="5" applyFont="1" applyFill="1" applyBorder="1" applyAlignment="1">
      <alignment horizontal="center"/>
    </xf>
    <xf numFmtId="0" fontId="50" fillId="55" borderId="43" xfId="5" applyFont="1" applyFill="1" applyBorder="1" applyAlignment="1">
      <alignment horizontal="center"/>
    </xf>
    <xf numFmtId="0" fontId="50" fillId="55" borderId="42" xfId="5" applyFont="1" applyFill="1" applyBorder="1" applyAlignment="1">
      <alignment horizontal="center"/>
    </xf>
    <xf numFmtId="195" fontId="6" fillId="46" borderId="52" xfId="5" applyNumberFormat="1" applyFill="1" applyBorder="1"/>
    <xf numFmtId="195" fontId="6" fillId="46" borderId="51" xfId="5" applyNumberFormat="1" applyFill="1" applyBorder="1"/>
    <xf numFmtId="0" fontId="77" fillId="55" borderId="0" xfId="5" applyFont="1" applyFill="1"/>
    <xf numFmtId="0" fontId="80" fillId="55" borderId="0" xfId="5" applyFont="1" applyFill="1"/>
    <xf numFmtId="0" fontId="72" fillId="0" borderId="0" xfId="5" applyFont="1" applyBorder="1"/>
    <xf numFmtId="0" fontId="6" fillId="46" borderId="0" xfId="5" applyFont="1" applyFill="1" applyBorder="1"/>
    <xf numFmtId="0" fontId="6" fillId="46" borderId="0" xfId="5" applyFont="1" applyFill="1" applyBorder="1" applyAlignment="1">
      <alignment horizontal="center" vertical="center"/>
    </xf>
    <xf numFmtId="0" fontId="72" fillId="0" borderId="0" xfId="5" applyFont="1" applyBorder="1" applyAlignment="1">
      <alignment horizontal="center" vertical="center"/>
    </xf>
    <xf numFmtId="0" fontId="6" fillId="46" borderId="26" xfId="5" applyFont="1" applyFill="1" applyBorder="1" applyAlignment="1">
      <alignment horizontal="center" vertical="center" shrinkToFit="1"/>
    </xf>
    <xf numFmtId="0" fontId="6" fillId="55" borderId="26" xfId="5" applyFont="1" applyFill="1" applyBorder="1" applyAlignment="1">
      <alignment horizontal="center" vertical="center" shrinkToFit="1"/>
    </xf>
    <xf numFmtId="200" fontId="72" fillId="0" borderId="0" xfId="5" applyNumberFormat="1" applyFont="1" applyBorder="1" applyAlignment="1">
      <alignment horizontal="center" vertical="center"/>
    </xf>
    <xf numFmtId="179" fontId="6" fillId="46" borderId="26" xfId="5" applyNumberFormat="1" applyFont="1" applyFill="1" applyBorder="1"/>
    <xf numFmtId="0" fontId="6" fillId="55" borderId="26" xfId="5" applyFill="1" applyBorder="1" applyAlignment="1">
      <alignment horizontal="center" vertical="center" shrinkToFit="1"/>
    </xf>
    <xf numFmtId="0" fontId="68" fillId="55" borderId="26" xfId="5" applyFont="1" applyFill="1" applyBorder="1" applyAlignment="1">
      <alignment horizontal="center" vertical="center" shrinkToFit="1"/>
    </xf>
    <xf numFmtId="0" fontId="77" fillId="55" borderId="0" xfId="5" applyFont="1" applyFill="1" applyBorder="1" applyAlignment="1">
      <alignment horizontal="left"/>
    </xf>
    <xf numFmtId="0" fontId="83" fillId="0" borderId="0" xfId="5" applyFont="1" applyBorder="1"/>
    <xf numFmtId="0" fontId="6" fillId="46" borderId="26" xfId="5" applyFill="1" applyBorder="1" applyAlignment="1">
      <alignment horizontal="center" vertical="center" shrinkToFit="1"/>
    </xf>
    <xf numFmtId="0" fontId="6" fillId="46" borderId="0" xfId="5" applyFill="1"/>
    <xf numFmtId="0" fontId="76" fillId="56" borderId="87" xfId="5" quotePrefix="1" applyFont="1" applyFill="1" applyBorder="1" applyAlignment="1">
      <alignment horizontal="center"/>
    </xf>
    <xf numFmtId="0" fontId="80" fillId="0" borderId="0" xfId="5" applyFont="1" applyFill="1"/>
    <xf numFmtId="179" fontId="50" fillId="0" borderId="101" xfId="5" applyNumberFormat="1" applyFont="1" applyFill="1" applyBorder="1" applyAlignment="1">
      <alignment horizontal="center"/>
    </xf>
    <xf numFmtId="179" fontId="50" fillId="0" borderId="88" xfId="5" applyNumberFormat="1" applyFont="1" applyFill="1" applyBorder="1" applyAlignment="1">
      <alignment horizontal="center"/>
    </xf>
    <xf numFmtId="179" fontId="50" fillId="0" borderId="40" xfId="5" applyNumberFormat="1" applyFont="1" applyFill="1" applyBorder="1" applyAlignment="1">
      <alignment horizontal="center"/>
    </xf>
    <xf numFmtId="179" fontId="50" fillId="0" borderId="39" xfId="5" applyNumberFormat="1" applyFont="1" applyFill="1" applyBorder="1" applyAlignment="1">
      <alignment horizontal="center"/>
    </xf>
    <xf numFmtId="179" fontId="50" fillId="0" borderId="119" xfId="5" applyNumberFormat="1" applyFont="1" applyFill="1" applyBorder="1" applyAlignment="1">
      <alignment horizontal="center"/>
    </xf>
    <xf numFmtId="179" fontId="50" fillId="0" borderId="120" xfId="5" applyNumberFormat="1" applyFont="1" applyFill="1" applyBorder="1" applyAlignment="1">
      <alignment horizontal="center"/>
    </xf>
    <xf numFmtId="179" fontId="50" fillId="0" borderId="43" xfId="5" applyNumberFormat="1" applyFont="1" applyFill="1" applyBorder="1" applyAlignment="1">
      <alignment horizontal="center"/>
    </xf>
    <xf numFmtId="179" fontId="50" fillId="0" borderId="42" xfId="5" applyNumberFormat="1" applyFont="1" applyFill="1" applyBorder="1" applyAlignment="1">
      <alignment horizontal="center"/>
    </xf>
    <xf numFmtId="0" fontId="76" fillId="50" borderId="25" xfId="5" quotePrefix="1" applyFont="1" applyFill="1" applyBorder="1" applyAlignment="1">
      <alignment horizontal="center"/>
    </xf>
    <xf numFmtId="200" fontId="50" fillId="0" borderId="49" xfId="5" applyNumberFormat="1" applyFont="1" applyFill="1" applyBorder="1" applyAlignment="1">
      <alignment horizontal="center"/>
    </xf>
    <xf numFmtId="200" fontId="50" fillId="0" borderId="48" xfId="5" applyNumberFormat="1" applyFont="1" applyFill="1" applyBorder="1" applyAlignment="1">
      <alignment horizontal="center"/>
    </xf>
    <xf numFmtId="200" fontId="50" fillId="0" borderId="40" xfId="5" applyNumberFormat="1" applyFont="1" applyFill="1" applyBorder="1" applyAlignment="1">
      <alignment horizontal="center"/>
    </xf>
    <xf numFmtId="200" fontId="50" fillId="0" borderId="39" xfId="5" applyNumberFormat="1" applyFont="1" applyFill="1" applyBorder="1" applyAlignment="1">
      <alignment horizontal="center"/>
    </xf>
    <xf numFmtId="200" fontId="50" fillId="0" borderId="43" xfId="5" applyNumberFormat="1" applyFont="1" applyFill="1" applyBorder="1" applyAlignment="1">
      <alignment horizontal="center"/>
    </xf>
    <xf numFmtId="200" fontId="50" fillId="0" borderId="42" xfId="5" applyNumberFormat="1" applyFont="1" applyFill="1" applyBorder="1" applyAlignment="1">
      <alignment horizontal="center"/>
    </xf>
    <xf numFmtId="0" fontId="77" fillId="0" borderId="0" xfId="5" applyFont="1" applyFill="1" applyBorder="1" applyAlignment="1">
      <alignment horizontal="right"/>
    </xf>
    <xf numFmtId="200" fontId="79" fillId="0" borderId="0" xfId="5" applyNumberFormat="1" applyFont="1" applyFill="1" applyBorder="1" applyAlignment="1">
      <alignment horizontal="center"/>
    </xf>
    <xf numFmtId="0" fontId="76" fillId="52" borderId="25" xfId="5" quotePrefix="1" applyFont="1" applyFill="1" applyBorder="1" applyAlignment="1">
      <alignment horizontal="center"/>
    </xf>
    <xf numFmtId="179" fontId="50" fillId="0" borderId="49" xfId="5" applyNumberFormat="1" applyFont="1" applyFill="1" applyBorder="1" applyAlignment="1">
      <alignment horizontal="center"/>
    </xf>
    <xf numFmtId="179" fontId="50" fillId="0" borderId="48" xfId="5" applyNumberFormat="1" applyFont="1" applyFill="1" applyBorder="1" applyAlignment="1">
      <alignment horizontal="center"/>
    </xf>
    <xf numFmtId="179" fontId="80" fillId="0" borderId="0" xfId="5" applyNumberFormat="1" applyFont="1" applyFill="1"/>
    <xf numFmtId="0" fontId="6" fillId="0" borderId="21" xfId="5" applyBorder="1"/>
    <xf numFmtId="0" fontId="6" fillId="0" borderId="38" xfId="5" applyBorder="1"/>
    <xf numFmtId="0" fontId="6" fillId="0" borderId="21" xfId="66" applyBorder="1"/>
    <xf numFmtId="0" fontId="6" fillId="0" borderId="38" xfId="66" applyBorder="1"/>
    <xf numFmtId="0" fontId="6" fillId="0" borderId="0" xfId="66"/>
    <xf numFmtId="0" fontId="6" fillId="0" borderId="26" xfId="66" applyBorder="1"/>
    <xf numFmtId="0" fontId="84" fillId="0" borderId="26" xfId="5" applyFont="1" applyBorder="1" applyAlignment="1">
      <alignment horizontal="center"/>
    </xf>
    <xf numFmtId="0" fontId="85" fillId="0" borderId="0" xfId="5" applyFont="1" applyFill="1"/>
    <xf numFmtId="0" fontId="6" fillId="0" borderId="79" xfId="66" applyBorder="1"/>
    <xf numFmtId="0" fontId="6" fillId="0" borderId="25" xfId="5" applyBorder="1"/>
    <xf numFmtId="0" fontId="6" fillId="0" borderId="24" xfId="5" applyBorder="1"/>
    <xf numFmtId="0" fontId="6" fillId="0" borderId="25" xfId="66" applyBorder="1"/>
    <xf numFmtId="0" fontId="6" fillId="0" borderId="24" xfId="66" applyBorder="1"/>
    <xf numFmtId="0" fontId="6" fillId="0" borderId="27" xfId="5" applyBorder="1"/>
    <xf numFmtId="0" fontId="6" fillId="0" borderId="82" xfId="5" applyBorder="1"/>
    <xf numFmtId="0" fontId="6" fillId="0" borderId="27" xfId="66" applyBorder="1"/>
    <xf numFmtId="0" fontId="6" fillId="0" borderId="82" xfId="66" applyBorder="1"/>
    <xf numFmtId="0" fontId="6" fillId="0" borderId="57" xfId="5" applyBorder="1"/>
    <xf numFmtId="0" fontId="6" fillId="0" borderId="70" xfId="5" applyBorder="1"/>
    <xf numFmtId="0" fontId="6" fillId="0" borderId="57" xfId="66" applyBorder="1"/>
    <xf numFmtId="0" fontId="6" fillId="0" borderId="70" xfId="66" applyBorder="1"/>
    <xf numFmtId="0" fontId="9" fillId="0" borderId="0" xfId="5" applyFont="1" applyFill="1" applyAlignment="1">
      <alignment vertical="center"/>
    </xf>
    <xf numFmtId="178" fontId="63" fillId="0" borderId="26" xfId="64" applyNumberFormat="1" applyFont="1" applyBorder="1" applyAlignment="1">
      <alignment horizontal="center" vertical="center"/>
    </xf>
    <xf numFmtId="0" fontId="56" fillId="0" borderId="0" xfId="64" applyFont="1" applyBorder="1">
      <alignment vertical="center"/>
    </xf>
    <xf numFmtId="1" fontId="63" fillId="0" borderId="0" xfId="64" applyNumberFormat="1" applyFont="1" applyAlignment="1">
      <alignment horizontal="center" vertical="center"/>
    </xf>
    <xf numFmtId="177" fontId="56" fillId="0" borderId="0" xfId="64" applyNumberFormat="1" applyFont="1" applyFill="1">
      <alignment vertical="center"/>
    </xf>
    <xf numFmtId="9" fontId="56" fillId="0" borderId="0" xfId="64" applyNumberFormat="1" applyFont="1" applyFill="1">
      <alignment vertical="center"/>
    </xf>
    <xf numFmtId="0" fontId="86" fillId="0" borderId="26" xfId="64" applyFont="1" applyBorder="1" applyAlignment="1">
      <alignment horizontal="center" vertical="center"/>
    </xf>
    <xf numFmtId="0" fontId="63" fillId="0" borderId="26" xfId="64" applyFont="1" applyBorder="1" applyAlignment="1">
      <alignment horizontal="center" vertical="center"/>
    </xf>
    <xf numFmtId="9" fontId="63" fillId="0" borderId="0" xfId="64" applyNumberFormat="1" applyFont="1">
      <alignment vertical="center"/>
    </xf>
    <xf numFmtId="178" fontId="86" fillId="0" borderId="26" xfId="64" applyNumberFormat="1" applyFont="1" applyBorder="1" applyAlignment="1">
      <alignment horizontal="center" vertical="center"/>
    </xf>
    <xf numFmtId="1" fontId="1" fillId="0" borderId="0" xfId="64" applyNumberFormat="1" applyFill="1" applyBorder="1" applyAlignment="1">
      <alignment horizontal="center" vertical="center"/>
    </xf>
    <xf numFmtId="178" fontId="1" fillId="0" borderId="26" xfId="64" applyNumberFormat="1" applyFill="1" applyBorder="1" applyAlignment="1">
      <alignment horizontal="center" vertical="center"/>
    </xf>
    <xf numFmtId="0" fontId="1" fillId="0" borderId="26" xfId="64" applyFill="1" applyBorder="1">
      <alignment vertical="center"/>
    </xf>
    <xf numFmtId="0" fontId="1" fillId="0" borderId="0" xfId="64" applyFill="1" applyAlignment="1">
      <alignment horizontal="center" vertical="center"/>
    </xf>
    <xf numFmtId="0" fontId="87" fillId="0" borderId="0" xfId="5" applyFont="1" applyAlignment="1">
      <alignment vertical="center"/>
    </xf>
    <xf numFmtId="0" fontId="87" fillId="0" borderId="0" xfId="5" applyFont="1" applyAlignment="1">
      <alignment horizontal="center" vertical="center"/>
    </xf>
    <xf numFmtId="0" fontId="88" fillId="0" borderId="0" xfId="5" applyFont="1" applyAlignment="1">
      <alignment vertical="center"/>
    </xf>
    <xf numFmtId="9" fontId="55" fillId="0" borderId="0" xfId="5" applyNumberFormat="1" applyFont="1" applyAlignment="1">
      <alignment vertical="center"/>
    </xf>
    <xf numFmtId="9" fontId="87" fillId="0" borderId="0" xfId="5" applyNumberFormat="1" applyFont="1" applyAlignment="1">
      <alignment vertical="center"/>
    </xf>
    <xf numFmtId="1" fontId="88" fillId="0" borderId="0" xfId="5" applyNumberFormat="1" applyFont="1" applyAlignment="1">
      <alignment vertical="center"/>
    </xf>
    <xf numFmtId="2" fontId="55" fillId="12" borderId="0" xfId="5" applyNumberFormat="1" applyFont="1" applyFill="1" applyAlignment="1">
      <alignment horizontal="center" vertical="center"/>
    </xf>
    <xf numFmtId="1" fontId="61" fillId="0" borderId="0" xfId="5" applyNumberFormat="1" applyFont="1" applyAlignment="1">
      <alignment vertical="center"/>
    </xf>
    <xf numFmtId="2" fontId="22" fillId="15" borderId="0" xfId="0" applyNumberFormat="1" applyFont="1" applyFill="1" applyBorder="1" applyAlignment="1" applyProtection="1">
      <alignment horizontal="center" vertical="center"/>
      <protection hidden="1"/>
    </xf>
    <xf numFmtId="0" fontId="22" fillId="0" borderId="0" xfId="0" applyFont="1" applyFill="1" applyBorder="1" applyAlignment="1">
      <alignment horizontal="center" vertical="center"/>
    </xf>
    <xf numFmtId="0" fontId="55" fillId="42" borderId="0" xfId="0" applyFont="1" applyFill="1"/>
    <xf numFmtId="0" fontId="61" fillId="42" borderId="0" xfId="0" applyFont="1" applyFill="1"/>
    <xf numFmtId="0" fontId="22" fillId="57" borderId="26" xfId="0" applyFont="1" applyFill="1" applyBorder="1" applyAlignment="1" applyProtection="1">
      <alignment horizontal="center" vertical="center"/>
      <protection hidden="1"/>
    </xf>
    <xf numFmtId="0" fontId="22" fillId="58" borderId="26" xfId="0" applyFont="1" applyFill="1" applyBorder="1" applyAlignment="1" applyProtection="1">
      <alignment horizontal="center" vertical="center"/>
      <protection hidden="1"/>
    </xf>
    <xf numFmtId="0" fontId="1" fillId="0" borderId="26" xfId="64" applyBorder="1" applyAlignment="1">
      <alignment horizontal="center" vertical="center"/>
    </xf>
    <xf numFmtId="0" fontId="89" fillId="0" borderId="0" xfId="8" applyFont="1">
      <alignment vertical="center"/>
    </xf>
    <xf numFmtId="2" fontId="18" fillId="59" borderId="0" xfId="8" applyNumberFormat="1" applyFont="1" applyFill="1">
      <alignment vertical="center"/>
    </xf>
    <xf numFmtId="178" fontId="56" fillId="41" borderId="0" xfId="64" applyNumberFormat="1" applyFont="1" applyFill="1" applyAlignment="1">
      <alignment horizontal="center" vertical="center"/>
    </xf>
    <xf numFmtId="1" fontId="1" fillId="0" borderId="26" xfId="64" applyNumberFormat="1" applyFill="1" applyBorder="1" applyAlignment="1">
      <alignment horizontal="center" vertical="center"/>
    </xf>
    <xf numFmtId="178" fontId="63" fillId="0" borderId="26" xfId="64" applyNumberFormat="1" applyFont="1" applyFill="1" applyBorder="1" applyAlignment="1">
      <alignment horizontal="center" vertical="center"/>
    </xf>
    <xf numFmtId="0" fontId="90" fillId="0" borderId="0" xfId="0" applyFont="1"/>
    <xf numFmtId="178" fontId="55" fillId="60" borderId="0" xfId="0" applyNumberFormat="1" applyFont="1" applyFill="1" applyAlignment="1">
      <alignment horizontal="center"/>
    </xf>
    <xf numFmtId="0" fontId="90" fillId="0" borderId="0" xfId="5" applyFont="1"/>
    <xf numFmtId="0" fontId="55" fillId="0" borderId="0" xfId="5" applyFont="1"/>
    <xf numFmtId="0" fontId="66" fillId="0" borderId="0" xfId="5" applyFont="1"/>
    <xf numFmtId="0" fontId="55" fillId="42" borderId="0" xfId="5" applyFont="1" applyFill="1"/>
    <xf numFmtId="0" fontId="61" fillId="42" borderId="0" xfId="5" applyFont="1" applyFill="1"/>
    <xf numFmtId="0" fontId="61" fillId="0" borderId="0" xfId="5" applyFont="1"/>
    <xf numFmtId="0" fontId="55" fillId="41" borderId="26" xfId="5" applyFont="1" applyFill="1" applyBorder="1" applyAlignment="1">
      <alignment horizontal="center" vertical="center"/>
    </xf>
    <xf numFmtId="0" fontId="61" fillId="0" borderId="26" xfId="5" applyFont="1" applyBorder="1" applyAlignment="1">
      <alignment horizontal="center" vertical="center"/>
    </xf>
    <xf numFmtId="178" fontId="61" fillId="41" borderId="26" xfId="5" applyNumberFormat="1" applyFont="1" applyFill="1" applyBorder="1" applyAlignment="1">
      <alignment horizontal="center" vertical="center"/>
    </xf>
    <xf numFmtId="0" fontId="61" fillId="41" borderId="26" xfId="5" applyFont="1" applyFill="1" applyBorder="1" applyAlignment="1">
      <alignment horizontal="center" vertical="center"/>
    </xf>
    <xf numFmtId="178" fontId="55" fillId="41" borderId="26" xfId="5" applyNumberFormat="1" applyFont="1" applyFill="1" applyBorder="1" applyAlignment="1">
      <alignment horizontal="center" vertical="center"/>
    </xf>
    <xf numFmtId="0" fontId="55" fillId="0" borderId="0" xfId="5" applyFont="1" applyAlignment="1">
      <alignment horizontal="center"/>
    </xf>
    <xf numFmtId="0" fontId="61" fillId="0" borderId="0" xfId="5" applyFont="1" applyAlignment="1">
      <alignment horizontal="center" vertical="center"/>
    </xf>
    <xf numFmtId="0" fontId="55" fillId="15" borderId="26" xfId="5" applyFont="1" applyFill="1" applyBorder="1" applyAlignment="1">
      <alignment horizontal="center" vertical="center"/>
    </xf>
    <xf numFmtId="0" fontId="61" fillId="15" borderId="26" xfId="5" applyFont="1" applyFill="1" applyBorder="1" applyAlignment="1">
      <alignment horizontal="center" vertical="center"/>
    </xf>
    <xf numFmtId="178" fontId="61" fillId="15" borderId="26" xfId="5" applyNumberFormat="1" applyFont="1" applyFill="1" applyBorder="1" applyAlignment="1">
      <alignment horizontal="center" vertical="center"/>
    </xf>
    <xf numFmtId="0" fontId="55" fillId="44" borderId="26" xfId="5" applyFont="1" applyFill="1" applyBorder="1" applyAlignment="1">
      <alignment horizontal="center" vertical="center"/>
    </xf>
    <xf numFmtId="0" fontId="61" fillId="44" borderId="26" xfId="5" applyFont="1" applyFill="1" applyBorder="1" applyAlignment="1">
      <alignment horizontal="center" vertical="center"/>
    </xf>
    <xf numFmtId="178" fontId="55" fillId="0" borderId="0" xfId="5" applyNumberFormat="1" applyFont="1" applyAlignment="1">
      <alignment horizontal="center"/>
    </xf>
    <xf numFmtId="0" fontId="61" fillId="41" borderId="0" xfId="5" applyFont="1" applyFill="1"/>
    <xf numFmtId="180" fontId="61" fillId="41" borderId="0" xfId="5" applyNumberFormat="1" applyFont="1" applyFill="1"/>
    <xf numFmtId="178" fontId="55" fillId="60" borderId="0" xfId="5" applyNumberFormat="1" applyFont="1" applyFill="1" applyAlignment="1">
      <alignment horizontal="center"/>
    </xf>
    <xf numFmtId="178" fontId="61" fillId="0" borderId="0" xfId="5" applyNumberFormat="1" applyFont="1" applyAlignment="1">
      <alignment horizontal="center"/>
    </xf>
    <xf numFmtId="178" fontId="55" fillId="0" borderId="0" xfId="5" applyNumberFormat="1" applyFont="1" applyFill="1" applyAlignment="1">
      <alignment horizontal="center"/>
    </xf>
    <xf numFmtId="0" fontId="55" fillId="0" borderId="0" xfId="5" applyFont="1" applyFill="1"/>
    <xf numFmtId="178" fontId="61" fillId="60" borderId="0" xfId="5" applyNumberFormat="1" applyFont="1" applyFill="1" applyAlignment="1">
      <alignment horizontal="center"/>
    </xf>
    <xf numFmtId="2" fontId="56" fillId="41" borderId="0" xfId="64" applyNumberFormat="1" applyFont="1" applyFill="1" applyAlignment="1">
      <alignment horizontal="center" vertical="center"/>
    </xf>
    <xf numFmtId="0" fontId="89" fillId="0" borderId="0" xfId="8" applyFont="1" applyFill="1">
      <alignment vertical="center"/>
    </xf>
    <xf numFmtId="0" fontId="1" fillId="0" borderId="26" xfId="64" applyBorder="1" applyAlignment="1">
      <alignment horizontal="center" vertical="center"/>
    </xf>
    <xf numFmtId="0" fontId="1" fillId="0" borderId="26" xfId="64" applyBorder="1" applyAlignment="1">
      <alignment horizontal="center" vertical="center"/>
    </xf>
    <xf numFmtId="178" fontId="63" fillId="0" borderId="0" xfId="64" applyNumberFormat="1" applyFont="1" applyBorder="1" applyAlignment="1">
      <alignment horizontal="center" vertical="center"/>
    </xf>
    <xf numFmtId="0" fontId="1" fillId="0" borderId="79" xfId="64" applyBorder="1" applyAlignment="1">
      <alignment horizontal="center" vertical="center"/>
    </xf>
    <xf numFmtId="178" fontId="1" fillId="0" borderId="79" xfId="64" applyNumberFormat="1" applyBorder="1" applyAlignment="1">
      <alignment horizontal="center" vertical="center"/>
    </xf>
    <xf numFmtId="0" fontId="1" fillId="0" borderId="65" xfId="64" applyBorder="1" applyAlignment="1">
      <alignment horizontal="center" vertical="center"/>
    </xf>
    <xf numFmtId="178" fontId="1" fillId="0" borderId="65" xfId="64" applyNumberFormat="1" applyBorder="1" applyAlignment="1">
      <alignment horizontal="center" vertical="center"/>
    </xf>
    <xf numFmtId="0" fontId="1" fillId="0" borderId="9" xfId="64" applyBorder="1" applyAlignment="1">
      <alignment horizontal="center" vertical="center"/>
    </xf>
    <xf numFmtId="0" fontId="1" fillId="0" borderId="0" xfId="64" applyFill="1" applyBorder="1">
      <alignment vertical="center"/>
    </xf>
    <xf numFmtId="0" fontId="56" fillId="0" borderId="0" xfId="64" applyFont="1" applyFill="1" applyBorder="1">
      <alignment vertical="center"/>
    </xf>
    <xf numFmtId="1" fontId="63" fillId="0" borderId="0" xfId="64" applyNumberFormat="1" applyFont="1" applyFill="1" applyBorder="1" applyAlignment="1">
      <alignment horizontal="center" vertical="center"/>
    </xf>
    <xf numFmtId="0" fontId="1" fillId="0" borderId="0" xfId="64" applyFill="1" applyBorder="1" applyAlignment="1">
      <alignment vertical="center"/>
    </xf>
    <xf numFmtId="0" fontId="56" fillId="0" borderId="0" xfId="64" applyFont="1" applyAlignment="1">
      <alignment horizontal="right" vertical="center"/>
    </xf>
    <xf numFmtId="178" fontId="1" fillId="0" borderId="0" xfId="64" applyNumberFormat="1" applyFont="1" applyAlignment="1">
      <alignment horizontal="center" vertical="center"/>
    </xf>
    <xf numFmtId="180" fontId="1" fillId="0" borderId="0" xfId="64" applyNumberFormat="1">
      <alignment vertical="center"/>
    </xf>
    <xf numFmtId="1" fontId="56" fillId="41" borderId="0" xfId="64" applyNumberFormat="1" applyFont="1" applyFill="1" applyAlignment="1">
      <alignment horizontal="center" vertical="center"/>
    </xf>
    <xf numFmtId="0" fontId="56" fillId="41" borderId="0" xfId="64" applyFont="1" applyFill="1" applyAlignment="1">
      <alignment horizontal="center" vertical="center"/>
    </xf>
    <xf numFmtId="178" fontId="1" fillId="0" borderId="72" xfId="64" applyNumberFormat="1" applyBorder="1" applyAlignment="1">
      <alignment horizontal="center" vertical="center"/>
    </xf>
    <xf numFmtId="180" fontId="55" fillId="0" borderId="0" xfId="5" applyNumberFormat="1" applyFont="1"/>
    <xf numFmtId="0" fontId="1" fillId="0" borderId="72" xfId="64" applyBorder="1" applyAlignment="1">
      <alignment horizontal="center" vertical="center"/>
    </xf>
    <xf numFmtId="1" fontId="1" fillId="0" borderId="72" xfId="64" applyNumberFormat="1" applyBorder="1" applyAlignment="1">
      <alignment horizontal="center" vertical="center"/>
    </xf>
    <xf numFmtId="178" fontId="1" fillId="0" borderId="0" xfId="64" applyNumberFormat="1" applyBorder="1" applyAlignment="1">
      <alignment horizontal="center" vertical="center"/>
    </xf>
    <xf numFmtId="1" fontId="56" fillId="41" borderId="72" xfId="64" applyNumberFormat="1" applyFont="1" applyFill="1" applyBorder="1" applyAlignment="1">
      <alignment horizontal="center" vertical="center"/>
    </xf>
    <xf numFmtId="1" fontId="56" fillId="41" borderId="0" xfId="64" applyNumberFormat="1" applyFont="1" applyFill="1" applyBorder="1" applyAlignment="1">
      <alignment horizontal="center" vertical="center"/>
    </xf>
    <xf numFmtId="178" fontId="1" fillId="0" borderId="0" xfId="64" applyNumberFormat="1" applyFill="1" applyBorder="1">
      <alignment vertical="center"/>
    </xf>
    <xf numFmtId="0" fontId="56" fillId="0" borderId="0" xfId="64" applyFont="1" applyAlignment="1">
      <alignment horizontal="center" vertical="center"/>
    </xf>
    <xf numFmtId="0" fontId="56" fillId="0" borderId="0" xfId="64" applyFont="1" applyFill="1" applyBorder="1" applyAlignment="1">
      <alignment horizontal="center" vertical="center"/>
    </xf>
    <xf numFmtId="1" fontId="56" fillId="0" borderId="0" xfId="64" applyNumberFormat="1" applyFont="1" applyFill="1" applyBorder="1" applyAlignment="1">
      <alignment horizontal="center" vertical="center"/>
    </xf>
    <xf numFmtId="178" fontId="89" fillId="41" borderId="0" xfId="8" applyNumberFormat="1" applyFont="1" applyFill="1">
      <alignment vertical="center"/>
    </xf>
    <xf numFmtId="177" fontId="18" fillId="0" borderId="0" xfId="1" applyNumberFormat="1" applyFont="1" applyAlignment="1">
      <alignment vertical="center"/>
    </xf>
    <xf numFmtId="178" fontId="56" fillId="0" borderId="0" xfId="64" applyNumberFormat="1" applyFont="1" applyFill="1" applyBorder="1" applyAlignment="1">
      <alignment horizontal="left" vertical="center"/>
    </xf>
    <xf numFmtId="0" fontId="62" fillId="41" borderId="0" xfId="64" applyFont="1" applyFill="1">
      <alignment vertical="center"/>
    </xf>
    <xf numFmtId="0" fontId="1" fillId="41" borderId="0" xfId="64" applyFill="1" applyAlignment="1">
      <alignment horizontal="center" vertical="center"/>
    </xf>
    <xf numFmtId="178" fontId="1" fillId="41" borderId="0" xfId="64" applyNumberFormat="1" applyFill="1" applyAlignment="1">
      <alignment horizontal="center" vertical="center"/>
    </xf>
    <xf numFmtId="177" fontId="1" fillId="41" borderId="0" xfId="1" applyNumberFormat="1" applyFont="1" applyFill="1" applyAlignment="1">
      <alignment horizontal="center" vertical="center"/>
    </xf>
    <xf numFmtId="9" fontId="1" fillId="0" borderId="0" xfId="64" applyNumberFormat="1" applyFont="1">
      <alignment vertical="center"/>
    </xf>
    <xf numFmtId="188" fontId="22" fillId="9" borderId="26" xfId="2" applyNumberFormat="1" applyFont="1" applyFill="1" applyBorder="1" applyAlignment="1" applyProtection="1">
      <alignment horizontal="center" vertical="center"/>
      <protection hidden="1"/>
    </xf>
    <xf numFmtId="1" fontId="51" fillId="14" borderId="26" xfId="0" applyNumberFormat="1" applyFont="1" applyFill="1" applyBorder="1" applyAlignment="1">
      <alignment horizontal="center" vertical="center"/>
    </xf>
    <xf numFmtId="0" fontId="22" fillId="14" borderId="26" xfId="0" applyFont="1" applyFill="1" applyBorder="1" applyAlignment="1" applyProtection="1">
      <alignment horizontal="center" vertical="center"/>
      <protection hidden="1"/>
    </xf>
    <xf numFmtId="0" fontId="22" fillId="14" borderId="26" xfId="0" applyFont="1" applyFill="1" applyBorder="1" applyAlignment="1">
      <alignment horizontal="center" vertical="center"/>
    </xf>
    <xf numFmtId="0" fontId="51" fillId="14" borderId="0" xfId="0" applyFont="1" applyFill="1" applyBorder="1" applyAlignment="1">
      <alignment horizontal="center" vertical="center"/>
    </xf>
    <xf numFmtId="188" fontId="22" fillId="14" borderId="26" xfId="2" applyNumberFormat="1" applyFont="1" applyFill="1" applyBorder="1" applyAlignment="1" applyProtection="1">
      <alignment horizontal="center" vertical="center"/>
      <protection hidden="1"/>
    </xf>
    <xf numFmtId="0" fontId="51" fillId="14" borderId="26" xfId="0" applyFont="1" applyFill="1" applyBorder="1" applyAlignment="1">
      <alignment horizontal="center" vertical="center"/>
    </xf>
    <xf numFmtId="0" fontId="22" fillId="14" borderId="0" xfId="0" applyFont="1" applyFill="1" applyBorder="1" applyAlignment="1">
      <alignment vertical="center"/>
    </xf>
    <xf numFmtId="0" fontId="11" fillId="2" borderId="1" xfId="0" applyFont="1" applyFill="1" applyBorder="1" applyAlignment="1" applyProtection="1">
      <alignment horizontal="center" vertical="center"/>
    </xf>
    <xf numFmtId="0" fontId="75" fillId="2" borderId="89" xfId="5" applyFont="1" applyFill="1" applyBorder="1" applyAlignment="1">
      <alignment horizontal="center" vertical="center"/>
    </xf>
    <xf numFmtId="0" fontId="75" fillId="2" borderId="93" xfId="5" applyFont="1" applyFill="1" applyBorder="1" applyAlignment="1">
      <alignment horizontal="center" vertical="center"/>
    </xf>
    <xf numFmtId="0" fontId="75" fillId="2" borderId="65" xfId="5" applyFont="1" applyFill="1" applyBorder="1" applyAlignment="1">
      <alignment horizontal="center" vertical="center"/>
    </xf>
    <xf numFmtId="0" fontId="75" fillId="2" borderId="83" xfId="5" applyFont="1" applyFill="1" applyBorder="1" applyAlignment="1">
      <alignment horizontal="center" vertical="center"/>
    </xf>
    <xf numFmtId="0" fontId="75" fillId="2" borderId="84" xfId="5" applyFont="1" applyFill="1" applyBorder="1" applyAlignment="1">
      <alignment horizontal="center" vertical="center"/>
    </xf>
    <xf numFmtId="0" fontId="75" fillId="2" borderId="79" xfId="5" applyFont="1" applyFill="1" applyBorder="1" applyAlignment="1">
      <alignment horizontal="center" vertical="center"/>
    </xf>
    <xf numFmtId="0" fontId="6" fillId="0" borderId="26" xfId="5" applyBorder="1" applyAlignment="1">
      <alignment horizontal="center"/>
    </xf>
    <xf numFmtId="0" fontId="6" fillId="49" borderId="26" xfId="5" applyFill="1" applyBorder="1" applyAlignment="1">
      <alignment horizontal="center"/>
    </xf>
    <xf numFmtId="0" fontId="72" fillId="0" borderId="0" xfId="5" applyFont="1" applyBorder="1" applyAlignment="1">
      <alignment horizontal="center" vertical="center"/>
    </xf>
    <xf numFmtId="0" fontId="6" fillId="46" borderId="79" xfId="5" applyFill="1" applyBorder="1" applyAlignment="1">
      <alignment horizontal="center" vertical="center" wrapText="1" shrinkToFit="1"/>
    </xf>
    <xf numFmtId="0" fontId="6" fillId="46" borderId="93" xfId="5" applyFont="1" applyFill="1" applyBorder="1" applyAlignment="1">
      <alignment horizontal="center" vertical="center" shrinkToFit="1"/>
    </xf>
    <xf numFmtId="0" fontId="6" fillId="46" borderId="65" xfId="5" applyFont="1" applyFill="1" applyBorder="1" applyAlignment="1">
      <alignment horizontal="center" vertical="center" shrinkToFit="1"/>
    </xf>
    <xf numFmtId="0" fontId="6" fillId="46" borderId="26" xfId="5" applyFont="1" applyFill="1" applyBorder="1" applyAlignment="1">
      <alignment horizontal="center" vertical="center" shrinkToFit="1"/>
    </xf>
    <xf numFmtId="185" fontId="11" fillId="5" borderId="14" xfId="0" applyNumberFormat="1" applyFont="1" applyFill="1" applyBorder="1" applyAlignment="1" applyProtection="1">
      <alignment horizontal="right" vertical="center"/>
      <protection hidden="1"/>
    </xf>
    <xf numFmtId="185" fontId="11" fillId="5" borderId="15" xfId="0" applyNumberFormat="1" applyFont="1" applyFill="1" applyBorder="1" applyAlignment="1" applyProtection="1">
      <alignment horizontal="right" vertical="center"/>
      <protection hidden="1"/>
    </xf>
    <xf numFmtId="185" fontId="11" fillId="8" borderId="12" xfId="0" applyNumberFormat="1" applyFont="1" applyFill="1" applyBorder="1" applyAlignment="1" applyProtection="1">
      <alignment horizontal="right" vertical="center"/>
      <protection hidden="1"/>
    </xf>
    <xf numFmtId="185" fontId="12" fillId="8" borderId="9" xfId="0" applyNumberFormat="1" applyFont="1" applyFill="1" applyBorder="1" applyAlignment="1">
      <alignment vertical="center"/>
    </xf>
    <xf numFmtId="0" fontId="8" fillId="16" borderId="17" xfId="0" applyFont="1" applyFill="1" applyBorder="1" applyAlignment="1" applyProtection="1">
      <alignment horizontal="center" vertical="center"/>
      <protection hidden="1"/>
    </xf>
    <xf numFmtId="0" fontId="9" fillId="16" borderId="19" xfId="0" applyFont="1" applyFill="1" applyBorder="1" applyAlignment="1">
      <alignment horizontal="center" vertical="center"/>
    </xf>
    <xf numFmtId="0" fontId="9" fillId="16" borderId="13" xfId="0" applyFont="1" applyFill="1" applyBorder="1" applyAlignment="1">
      <alignment horizontal="center" vertical="center"/>
    </xf>
    <xf numFmtId="185" fontId="11" fillId="16" borderId="17" xfId="2" applyNumberFormat="1" applyFont="1" applyFill="1" applyBorder="1" applyAlignment="1" applyProtection="1">
      <alignment horizontal="right" vertical="center"/>
      <protection hidden="1"/>
    </xf>
    <xf numFmtId="185" fontId="11" fillId="16" borderId="9" xfId="2" applyNumberFormat="1" applyFont="1" applyFill="1" applyBorder="1" applyAlignment="1" applyProtection="1">
      <alignment horizontal="right" vertical="center"/>
      <protection hidden="1"/>
    </xf>
    <xf numFmtId="183" fontId="11" fillId="8" borderId="12" xfId="0" applyNumberFormat="1" applyFont="1" applyFill="1" applyBorder="1" applyAlignment="1" applyProtection="1">
      <alignment horizontal="right" vertical="center"/>
      <protection hidden="1"/>
    </xf>
    <xf numFmtId="183" fontId="11" fillId="8" borderId="9" xfId="0" applyNumberFormat="1" applyFont="1" applyFill="1" applyBorder="1" applyAlignment="1" applyProtection="1">
      <alignment horizontal="right" vertical="center"/>
      <protection hidden="1"/>
    </xf>
    <xf numFmtId="183" fontId="11" fillId="16" borderId="12" xfId="0" applyNumberFormat="1" applyFont="1" applyFill="1" applyBorder="1" applyAlignment="1" applyProtection="1">
      <alignment horizontal="right" vertical="center"/>
      <protection hidden="1"/>
    </xf>
    <xf numFmtId="183" fontId="11" fillId="16" borderId="9" xfId="0" applyNumberFormat="1" applyFont="1" applyFill="1" applyBorder="1" applyAlignment="1" applyProtection="1">
      <alignment horizontal="right" vertical="center"/>
      <protection hidden="1"/>
    </xf>
    <xf numFmtId="183" fontId="11" fillId="3" borderId="12" xfId="0" applyNumberFormat="1" applyFont="1" applyFill="1" applyBorder="1" applyAlignment="1" applyProtection="1">
      <alignment horizontal="right" vertical="center"/>
      <protection hidden="1"/>
    </xf>
    <xf numFmtId="183" fontId="11" fillId="3" borderId="9" xfId="0" applyNumberFormat="1" applyFont="1" applyFill="1" applyBorder="1" applyAlignment="1" applyProtection="1">
      <alignment horizontal="right" vertical="center"/>
      <protection hidden="1"/>
    </xf>
    <xf numFmtId="183" fontId="11" fillId="7" borderId="12" xfId="0" applyNumberFormat="1" applyFont="1" applyFill="1" applyBorder="1" applyAlignment="1" applyProtection="1">
      <alignment horizontal="right" vertical="center"/>
      <protection hidden="1"/>
    </xf>
    <xf numFmtId="183" fontId="11" fillId="7" borderId="9" xfId="0" applyNumberFormat="1" applyFont="1" applyFill="1" applyBorder="1" applyAlignment="1" applyProtection="1">
      <alignment horizontal="right" vertical="center"/>
      <protection hidden="1"/>
    </xf>
    <xf numFmtId="185" fontId="11" fillId="7" borderId="17" xfId="2" applyNumberFormat="1" applyFont="1" applyFill="1" applyBorder="1" applyAlignment="1" applyProtection="1">
      <alignment horizontal="right" vertical="center"/>
      <protection hidden="1"/>
    </xf>
    <xf numFmtId="185" fontId="11" fillId="7" borderId="9" xfId="2" applyNumberFormat="1" applyFont="1" applyFill="1" applyBorder="1" applyAlignment="1" applyProtection="1">
      <alignment horizontal="right" vertical="center"/>
      <protection hidden="1"/>
    </xf>
    <xf numFmtId="185" fontId="11" fillId="7" borderId="12" xfId="0" applyNumberFormat="1" applyFont="1" applyFill="1" applyBorder="1" applyAlignment="1" applyProtection="1">
      <alignment horizontal="right" vertical="center"/>
      <protection hidden="1"/>
    </xf>
    <xf numFmtId="185" fontId="11" fillId="7" borderId="13" xfId="0" applyNumberFormat="1" applyFont="1" applyFill="1" applyBorder="1" applyAlignment="1" applyProtection="1">
      <alignment horizontal="right" vertical="center"/>
      <protection hidden="1"/>
    </xf>
    <xf numFmtId="185" fontId="11" fillId="5" borderId="12" xfId="0" applyNumberFormat="1" applyFont="1" applyFill="1" applyBorder="1" applyAlignment="1" applyProtection="1">
      <alignment horizontal="right" vertical="center"/>
      <protection hidden="1"/>
    </xf>
    <xf numFmtId="185" fontId="11" fillId="5" borderId="13" xfId="0" applyNumberFormat="1" applyFont="1" applyFill="1" applyBorder="1" applyAlignment="1" applyProtection="1">
      <alignment horizontal="right" vertical="center"/>
      <protection hidden="1"/>
    </xf>
    <xf numFmtId="185" fontId="11" fillId="16" borderId="12" xfId="0" applyNumberFormat="1" applyFont="1" applyFill="1" applyBorder="1" applyAlignment="1" applyProtection="1">
      <alignment horizontal="right" vertical="center"/>
      <protection hidden="1"/>
    </xf>
    <xf numFmtId="185" fontId="11" fillId="16" borderId="13" xfId="0" applyNumberFormat="1" applyFont="1" applyFill="1" applyBorder="1" applyAlignment="1" applyProtection="1">
      <alignment horizontal="right" vertical="center"/>
      <protection hidden="1"/>
    </xf>
    <xf numFmtId="185" fontId="11" fillId="3" borderId="12" xfId="0" applyNumberFormat="1" applyFont="1" applyFill="1" applyBorder="1" applyAlignment="1" applyProtection="1">
      <alignment horizontal="right" vertical="center"/>
      <protection hidden="1"/>
    </xf>
    <xf numFmtId="185" fontId="11" fillId="3" borderId="13" xfId="0" applyNumberFormat="1" applyFont="1" applyFill="1" applyBorder="1" applyAlignment="1" applyProtection="1">
      <alignment horizontal="right" vertical="center"/>
      <protection hidden="1"/>
    </xf>
    <xf numFmtId="0" fontId="8" fillId="8" borderId="17" xfId="0" applyFont="1" applyFill="1" applyBorder="1" applyAlignment="1" applyProtection="1">
      <alignment horizontal="center" vertical="center"/>
      <protection hidden="1"/>
    </xf>
    <xf numFmtId="0" fontId="9" fillId="8" borderId="19" xfId="0" applyFont="1" applyFill="1" applyBorder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8" fillId="3" borderId="17" xfId="0" applyFont="1" applyFill="1" applyBorder="1" applyAlignment="1" applyProtection="1">
      <alignment horizontal="center" vertical="center"/>
      <protection hidden="1"/>
    </xf>
    <xf numFmtId="0" fontId="9" fillId="0" borderId="1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85" fontId="11" fillId="3" borderId="17" xfId="2" applyNumberFormat="1" applyFont="1" applyFill="1" applyBorder="1" applyAlignment="1" applyProtection="1">
      <alignment horizontal="right" vertical="center"/>
      <protection hidden="1"/>
    </xf>
    <xf numFmtId="185" fontId="11" fillId="3" borderId="9" xfId="2" applyNumberFormat="1" applyFont="1" applyFill="1" applyBorder="1" applyAlignment="1" applyProtection="1">
      <alignment horizontal="right" vertical="center"/>
      <protection hidden="1"/>
    </xf>
    <xf numFmtId="0" fontId="0" fillId="0" borderId="19" xfId="0" applyBorder="1"/>
    <xf numFmtId="0" fontId="0" fillId="0" borderId="13" xfId="0" applyBorder="1"/>
    <xf numFmtId="185" fontId="11" fillId="8" borderId="17" xfId="2" applyNumberFormat="1" applyFont="1" applyFill="1" applyBorder="1" applyAlignment="1" applyProtection="1">
      <alignment horizontal="right" vertical="center"/>
      <protection hidden="1"/>
    </xf>
    <xf numFmtId="185" fontId="11" fillId="8" borderId="9" xfId="2" applyNumberFormat="1" applyFont="1" applyFill="1" applyBorder="1" applyAlignment="1" applyProtection="1">
      <alignment horizontal="right" vertical="center"/>
      <protection hidden="1"/>
    </xf>
    <xf numFmtId="183" fontId="11" fillId="5" borderId="12" xfId="0" applyNumberFormat="1" applyFont="1" applyFill="1" applyBorder="1" applyAlignment="1" applyProtection="1">
      <alignment horizontal="right" vertical="center"/>
      <protection hidden="1"/>
    </xf>
    <xf numFmtId="183" fontId="11" fillId="5" borderId="9" xfId="0" applyNumberFormat="1" applyFont="1" applyFill="1" applyBorder="1" applyAlignment="1" applyProtection="1">
      <alignment horizontal="right" vertical="center"/>
      <protection hidden="1"/>
    </xf>
    <xf numFmtId="183" fontId="11" fillId="8" borderId="23" xfId="0" applyNumberFormat="1" applyFont="1" applyFill="1" applyBorder="1" applyAlignment="1" applyProtection="1">
      <alignment horizontal="right" vertical="center"/>
      <protection hidden="1"/>
    </xf>
    <xf numFmtId="183" fontId="11" fillId="8" borderId="22" xfId="0" applyNumberFormat="1" applyFont="1" applyFill="1" applyBorder="1" applyAlignment="1" applyProtection="1">
      <alignment horizontal="right" vertical="center"/>
      <protection hidden="1"/>
    </xf>
    <xf numFmtId="0" fontId="8" fillId="5" borderId="18" xfId="0" applyFont="1" applyFill="1" applyBorder="1" applyAlignment="1" applyProtection="1">
      <alignment horizontal="center" vertical="center"/>
      <protection hidden="1"/>
    </xf>
    <xf numFmtId="0" fontId="8" fillId="5" borderId="20" xfId="0" applyFont="1" applyFill="1" applyBorder="1" applyAlignment="1" applyProtection="1">
      <alignment horizontal="center" vertical="center"/>
      <protection hidden="1"/>
    </xf>
    <xf numFmtId="0" fontId="8" fillId="5" borderId="15" xfId="0" applyFont="1" applyFill="1" applyBorder="1" applyAlignment="1" applyProtection="1">
      <alignment horizontal="center" vertical="center"/>
      <protection hidden="1"/>
    </xf>
    <xf numFmtId="185" fontId="11" fillId="5" borderId="18" xfId="2" applyNumberFormat="1" applyFont="1" applyFill="1" applyBorder="1" applyAlignment="1" applyProtection="1">
      <alignment horizontal="right" vertical="center"/>
      <protection hidden="1"/>
    </xf>
    <xf numFmtId="185" fontId="11" fillId="5" borderId="16" xfId="2" applyNumberFormat="1" applyFont="1" applyFill="1" applyBorder="1" applyAlignment="1" applyProtection="1">
      <alignment horizontal="right" vertical="center"/>
      <protection hidden="1"/>
    </xf>
    <xf numFmtId="183" fontId="11" fillId="5" borderId="14" xfId="0" applyNumberFormat="1" applyFont="1" applyFill="1" applyBorder="1" applyAlignment="1" applyProtection="1">
      <alignment horizontal="right" vertical="center"/>
      <protection hidden="1"/>
    </xf>
    <xf numFmtId="183" fontId="11" fillId="5" borderId="16" xfId="0" applyNumberFormat="1" applyFont="1" applyFill="1" applyBorder="1" applyAlignment="1" applyProtection="1">
      <alignment horizontal="right" vertical="center"/>
      <protection hidden="1"/>
    </xf>
    <xf numFmtId="185" fontId="12" fillId="0" borderId="16" xfId="0" applyNumberFormat="1" applyFont="1" applyBorder="1" applyAlignment="1">
      <alignment vertical="center"/>
    </xf>
    <xf numFmtId="185" fontId="11" fillId="7" borderId="9" xfId="0" applyNumberFormat="1" applyFont="1" applyFill="1" applyBorder="1" applyAlignment="1" applyProtection="1">
      <alignment horizontal="right" vertical="center"/>
      <protection hidden="1"/>
    </xf>
    <xf numFmtId="0" fontId="8" fillId="5" borderId="17" xfId="0" applyFont="1" applyFill="1" applyBorder="1" applyAlignment="1" applyProtection="1">
      <alignment horizontal="center" vertical="center"/>
      <protection hidden="1"/>
    </xf>
    <xf numFmtId="0" fontId="8" fillId="5" borderId="19" xfId="0" applyFont="1" applyFill="1" applyBorder="1" applyAlignment="1" applyProtection="1">
      <alignment horizontal="center" vertical="center"/>
      <protection hidden="1"/>
    </xf>
    <xf numFmtId="0" fontId="8" fillId="5" borderId="13" xfId="0" applyFont="1" applyFill="1" applyBorder="1" applyAlignment="1" applyProtection="1">
      <alignment horizontal="center" vertical="center"/>
      <protection hidden="1"/>
    </xf>
    <xf numFmtId="0" fontId="8" fillId="7" borderId="17" xfId="0" applyFont="1" applyFill="1" applyBorder="1" applyAlignment="1" applyProtection="1">
      <alignment horizontal="center" vertical="center"/>
      <protection hidden="1"/>
    </xf>
    <xf numFmtId="0" fontId="8" fillId="7" borderId="19" xfId="0" applyFont="1" applyFill="1" applyBorder="1" applyAlignment="1" applyProtection="1">
      <alignment horizontal="center" vertical="center"/>
      <protection hidden="1"/>
    </xf>
    <xf numFmtId="0" fontId="8" fillId="7" borderId="13" xfId="0" applyFont="1" applyFill="1" applyBorder="1" applyAlignment="1" applyProtection="1">
      <alignment horizontal="center" vertical="center"/>
      <protection hidden="1"/>
    </xf>
    <xf numFmtId="0" fontId="9" fillId="7" borderId="19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185" fontId="12" fillId="7" borderId="9" xfId="0" applyNumberFormat="1" applyFont="1" applyFill="1" applyBorder="1" applyAlignment="1">
      <alignment vertical="center"/>
    </xf>
    <xf numFmtId="185" fontId="11" fillId="5" borderId="17" xfId="2" applyNumberFormat="1" applyFont="1" applyFill="1" applyBorder="1" applyAlignment="1" applyProtection="1">
      <alignment horizontal="right" vertical="center"/>
      <protection hidden="1"/>
    </xf>
    <xf numFmtId="185" fontId="11" fillId="5" borderId="9" xfId="2" applyNumberFormat="1" applyFont="1" applyFill="1" applyBorder="1" applyAlignment="1" applyProtection="1">
      <alignment horizontal="right" vertical="center"/>
      <protection hidden="1"/>
    </xf>
    <xf numFmtId="185" fontId="11" fillId="8" borderId="68" xfId="2" applyNumberFormat="1" applyFont="1" applyFill="1" applyBorder="1" applyAlignment="1" applyProtection="1">
      <alignment horizontal="right" vertical="center"/>
      <protection hidden="1"/>
    </xf>
    <xf numFmtId="185" fontId="11" fillId="8" borderId="69" xfId="2" applyNumberFormat="1" applyFont="1" applyFill="1" applyBorder="1" applyAlignment="1" applyProtection="1">
      <alignment horizontal="right" vertical="center"/>
      <protection hidden="1"/>
    </xf>
    <xf numFmtId="0" fontId="13" fillId="6" borderId="21" xfId="0" applyFont="1" applyFill="1" applyBorder="1" applyAlignment="1" applyProtection="1">
      <alignment horizontal="center" vertical="center"/>
      <protection hidden="1"/>
    </xf>
    <xf numFmtId="0" fontId="13" fillId="6" borderId="3" xfId="0" applyFont="1" applyFill="1" applyBorder="1" applyAlignment="1" applyProtection="1">
      <alignment horizontal="center" vertical="center"/>
      <protection hidden="1"/>
    </xf>
    <xf numFmtId="0" fontId="13" fillId="6" borderId="38" xfId="0" applyFont="1" applyFill="1" applyBorder="1" applyAlignment="1" applyProtection="1">
      <alignment horizontal="center" vertical="center"/>
      <protection hidden="1"/>
    </xf>
    <xf numFmtId="0" fontId="13" fillId="6" borderId="25" xfId="0" applyFont="1" applyFill="1" applyBorder="1" applyAlignment="1" applyProtection="1">
      <alignment horizontal="center" vertical="center"/>
      <protection hidden="1"/>
    </xf>
    <xf numFmtId="0" fontId="13" fillId="6" borderId="55" xfId="0" applyFont="1" applyFill="1" applyBorder="1" applyAlignment="1" applyProtection="1">
      <alignment horizontal="center" vertical="center"/>
      <protection hidden="1"/>
    </xf>
    <xf numFmtId="0" fontId="13" fillId="6" borderId="54" xfId="0" applyFont="1" applyFill="1" applyBorder="1" applyAlignment="1" applyProtection="1">
      <alignment horizontal="center" vertical="center"/>
      <protection hidden="1"/>
    </xf>
    <xf numFmtId="0" fontId="13" fillId="6" borderId="57" xfId="0" applyFont="1" applyFill="1" applyBorder="1" applyAlignment="1" applyProtection="1">
      <alignment horizontal="center" vertical="center"/>
      <protection hidden="1"/>
    </xf>
    <xf numFmtId="0" fontId="13" fillId="6" borderId="56" xfId="0" applyFont="1" applyFill="1" applyBorder="1" applyAlignment="1" applyProtection="1">
      <alignment horizontal="center" vertical="center"/>
      <protection hidden="1"/>
    </xf>
    <xf numFmtId="0" fontId="13" fillId="6" borderId="47" xfId="0" applyFont="1" applyFill="1" applyBorder="1" applyAlignment="1" applyProtection="1">
      <alignment horizontal="center" vertical="center"/>
      <protection hidden="1"/>
    </xf>
    <xf numFmtId="0" fontId="13" fillId="6" borderId="53" xfId="0" applyFont="1" applyFill="1" applyBorder="1" applyAlignment="1" applyProtection="1">
      <alignment horizontal="center" vertical="center"/>
      <protection hidden="1"/>
    </xf>
    <xf numFmtId="0" fontId="13" fillId="6" borderId="46" xfId="0" applyFont="1" applyFill="1" applyBorder="1" applyAlignment="1" applyProtection="1">
      <alignment horizontal="center" vertical="center"/>
      <protection hidden="1"/>
    </xf>
    <xf numFmtId="0" fontId="13" fillId="6" borderId="24" xfId="0" applyFont="1" applyFill="1" applyBorder="1" applyAlignment="1" applyProtection="1">
      <alignment horizontal="center" vertical="center"/>
      <protection hidden="1"/>
    </xf>
    <xf numFmtId="0" fontId="13" fillId="6" borderId="70" xfId="0" applyFont="1" applyFill="1" applyBorder="1" applyAlignment="1" applyProtection="1">
      <alignment horizontal="center" vertical="center"/>
      <protection hidden="1"/>
    </xf>
    <xf numFmtId="184" fontId="8" fillId="3" borderId="2" xfId="0" applyNumberFormat="1" applyFont="1" applyFill="1" applyBorder="1" applyAlignment="1" applyProtection="1">
      <alignment vertical="center"/>
      <protection locked="0"/>
    </xf>
    <xf numFmtId="184" fontId="9" fillId="0" borderId="8" xfId="0" applyNumberFormat="1" applyFont="1" applyBorder="1" applyAlignment="1"/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/>
    <xf numFmtId="0" fontId="13" fillId="6" borderId="50" xfId="0" applyFont="1" applyFill="1" applyBorder="1" applyAlignment="1" applyProtection="1">
      <alignment horizontal="center" vertical="center" wrapText="1"/>
      <protection hidden="1"/>
    </xf>
    <xf numFmtId="0" fontId="13" fillId="6" borderId="44" xfId="0" applyFont="1" applyFill="1" applyBorder="1" applyAlignment="1" applyProtection="1">
      <alignment horizontal="center" vertical="center" wrapText="1"/>
      <protection hidden="1"/>
    </xf>
    <xf numFmtId="0" fontId="13" fillId="6" borderId="49" xfId="0" applyFont="1" applyFill="1" applyBorder="1" applyAlignment="1" applyProtection="1">
      <alignment horizontal="center" vertical="center" wrapText="1"/>
      <protection hidden="1"/>
    </xf>
    <xf numFmtId="0" fontId="13" fillId="6" borderId="52" xfId="0" applyFont="1" applyFill="1" applyBorder="1" applyAlignment="1" applyProtection="1">
      <alignment horizontal="center" vertical="center" wrapText="1"/>
      <protection hidden="1"/>
    </xf>
    <xf numFmtId="0" fontId="13" fillId="6" borderId="48" xfId="0" applyFont="1" applyFill="1" applyBorder="1" applyAlignment="1" applyProtection="1">
      <alignment horizontal="center" vertical="center" wrapText="1"/>
      <protection hidden="1"/>
    </xf>
    <xf numFmtId="0" fontId="13" fillId="6" borderId="49" xfId="0" applyFont="1" applyFill="1" applyBorder="1" applyAlignment="1" applyProtection="1">
      <alignment horizontal="center" vertical="center" wrapText="1" shrinkToFit="1"/>
      <protection hidden="1"/>
    </xf>
    <xf numFmtId="0" fontId="13" fillId="6" borderId="48" xfId="0" applyFont="1" applyFill="1" applyBorder="1" applyAlignment="1" applyProtection="1">
      <alignment horizontal="center" vertical="center" wrapText="1" shrinkToFit="1"/>
      <protection hidden="1"/>
    </xf>
    <xf numFmtId="0" fontId="44" fillId="16" borderId="58" xfId="0" applyNumberFormat="1" applyFont="1" applyFill="1" applyBorder="1" applyAlignment="1" applyProtection="1">
      <alignment horizontal="center" vertical="center"/>
      <protection locked="0"/>
    </xf>
    <xf numFmtId="0" fontId="44" fillId="0" borderId="60" xfId="0" applyNumberFormat="1" applyFont="1" applyFill="1" applyBorder="1" applyAlignment="1" applyProtection="1">
      <alignment horizontal="center" vertical="center"/>
      <protection hidden="1"/>
    </xf>
    <xf numFmtId="0" fontId="44" fillId="0" borderId="61" xfId="0" applyNumberFormat="1" applyFont="1" applyFill="1" applyBorder="1" applyAlignment="1" applyProtection="1">
      <alignment horizontal="center" vertical="center"/>
      <protection hidden="1"/>
    </xf>
    <xf numFmtId="0" fontId="44" fillId="0" borderId="62" xfId="0" applyNumberFormat="1" applyFont="1" applyFill="1" applyBorder="1" applyAlignment="1" applyProtection="1">
      <alignment horizontal="center" vertical="center"/>
      <protection hidden="1"/>
    </xf>
    <xf numFmtId="185" fontId="12" fillId="0" borderId="9" xfId="0" applyNumberFormat="1" applyFont="1" applyBorder="1" applyAlignment="1">
      <alignment vertical="center"/>
    </xf>
    <xf numFmtId="185" fontId="12" fillId="16" borderId="9" xfId="0" applyNumberFormat="1" applyFont="1" applyFill="1" applyBorder="1" applyAlignment="1">
      <alignment vertical="center"/>
    </xf>
    <xf numFmtId="185" fontId="11" fillId="8" borderId="13" xfId="0" applyNumberFormat="1" applyFont="1" applyFill="1" applyBorder="1" applyAlignment="1" applyProtection="1">
      <alignment horizontal="right" vertical="center"/>
      <protection hidden="1"/>
    </xf>
    <xf numFmtId="185" fontId="11" fillId="8" borderId="23" xfId="0" applyNumberFormat="1" applyFont="1" applyFill="1" applyBorder="1" applyAlignment="1" applyProtection="1">
      <alignment horizontal="right" vertical="center"/>
      <protection hidden="1"/>
    </xf>
    <xf numFmtId="185" fontId="11" fillId="8" borderId="24" xfId="0" applyNumberFormat="1" applyFont="1" applyFill="1" applyBorder="1" applyAlignment="1" applyProtection="1">
      <alignment horizontal="right" vertical="center"/>
      <protection hidden="1"/>
    </xf>
    <xf numFmtId="185" fontId="12" fillId="8" borderId="22" xfId="0" applyNumberFormat="1" applyFont="1" applyFill="1" applyBorder="1" applyAlignment="1">
      <alignment vertical="center"/>
    </xf>
    <xf numFmtId="0" fontId="8" fillId="16" borderId="19" xfId="0" applyFont="1" applyFill="1" applyBorder="1" applyAlignment="1" applyProtection="1">
      <alignment horizontal="center" vertical="center"/>
      <protection hidden="1"/>
    </xf>
    <xf numFmtId="0" fontId="8" fillId="16" borderId="13" xfId="0" applyFont="1" applyFill="1" applyBorder="1" applyAlignment="1" applyProtection="1">
      <alignment horizontal="center" vertical="center"/>
      <protection hidden="1"/>
    </xf>
    <xf numFmtId="185" fontId="11" fillId="16" borderId="9" xfId="0" applyNumberFormat="1" applyFont="1" applyFill="1" applyBorder="1" applyAlignment="1" applyProtection="1">
      <alignment horizontal="right" vertical="center"/>
      <protection hidden="1"/>
    </xf>
    <xf numFmtId="0" fontId="8" fillId="8" borderId="71" xfId="0" applyFont="1" applyFill="1" applyBorder="1" applyAlignment="1" applyProtection="1">
      <alignment horizontal="center" vertical="center"/>
      <protection hidden="1"/>
    </xf>
    <xf numFmtId="0" fontId="9" fillId="8" borderId="72" xfId="0" applyFont="1" applyFill="1" applyBorder="1" applyAlignment="1">
      <alignment horizontal="center" vertical="center"/>
    </xf>
    <xf numFmtId="0" fontId="9" fillId="8" borderId="73" xfId="0" applyFont="1" applyFill="1" applyBorder="1" applyAlignment="1">
      <alignment horizontal="center" vertical="center"/>
    </xf>
    <xf numFmtId="185" fontId="11" fillId="8" borderId="25" xfId="2" applyNumberFormat="1" applyFont="1" applyFill="1" applyBorder="1" applyAlignment="1" applyProtection="1">
      <alignment horizontal="right" vertical="center"/>
      <protection hidden="1"/>
    </xf>
    <xf numFmtId="185" fontId="11" fillId="8" borderId="22" xfId="2" applyNumberFormat="1" applyFont="1" applyFill="1" applyBorder="1" applyAlignment="1" applyProtection="1">
      <alignment horizontal="right" vertical="center"/>
      <protection hidden="1"/>
    </xf>
    <xf numFmtId="185" fontId="11" fillId="8" borderId="22" xfId="0" applyNumberFormat="1" applyFont="1" applyFill="1" applyBorder="1" applyAlignment="1" applyProtection="1">
      <alignment horizontal="right" vertical="center"/>
      <protection hidden="1"/>
    </xf>
    <xf numFmtId="0" fontId="50" fillId="9" borderId="0" xfId="0" applyFont="1" applyFill="1" applyBorder="1" applyAlignment="1">
      <alignment horizontal="center"/>
    </xf>
    <xf numFmtId="0" fontId="8" fillId="45" borderId="18" xfId="0" applyFont="1" applyFill="1" applyBorder="1" applyAlignment="1" applyProtection="1">
      <alignment horizontal="center" vertical="center"/>
      <protection hidden="1"/>
    </xf>
    <xf numFmtId="0" fontId="8" fillId="45" borderId="20" xfId="0" applyFont="1" applyFill="1" applyBorder="1" applyAlignment="1" applyProtection="1">
      <alignment horizontal="center" vertical="center"/>
      <protection hidden="1"/>
    </xf>
    <xf numFmtId="0" fontId="8" fillId="45" borderId="15" xfId="0" applyFont="1" applyFill="1" applyBorder="1" applyAlignment="1" applyProtection="1">
      <alignment horizontal="center" vertical="center"/>
      <protection hidden="1"/>
    </xf>
    <xf numFmtId="185" fontId="11" fillId="45" borderId="18" xfId="2" applyNumberFormat="1" applyFont="1" applyFill="1" applyBorder="1" applyAlignment="1" applyProtection="1">
      <alignment horizontal="right" vertical="center"/>
      <protection hidden="1"/>
    </xf>
    <xf numFmtId="185" fontId="11" fillId="45" borderId="16" xfId="2" applyNumberFormat="1" applyFont="1" applyFill="1" applyBorder="1" applyAlignment="1" applyProtection="1">
      <alignment horizontal="right" vertical="center"/>
      <protection hidden="1"/>
    </xf>
    <xf numFmtId="183" fontId="11" fillId="45" borderId="14" xfId="0" applyNumberFormat="1" applyFont="1" applyFill="1" applyBorder="1" applyAlignment="1" applyProtection="1">
      <alignment horizontal="right" vertical="center"/>
      <protection hidden="1"/>
    </xf>
    <xf numFmtId="183" fontId="11" fillId="45" borderId="16" xfId="0" applyNumberFormat="1" applyFont="1" applyFill="1" applyBorder="1" applyAlignment="1" applyProtection="1">
      <alignment horizontal="right" vertical="center"/>
      <protection hidden="1"/>
    </xf>
    <xf numFmtId="185" fontId="11" fillId="45" borderId="14" xfId="0" applyNumberFormat="1" applyFont="1" applyFill="1" applyBorder="1" applyAlignment="1" applyProtection="1">
      <alignment horizontal="right" vertical="center"/>
      <protection hidden="1"/>
    </xf>
    <xf numFmtId="185" fontId="12" fillId="45" borderId="16" xfId="0" applyNumberFormat="1" applyFont="1" applyFill="1" applyBorder="1" applyAlignment="1">
      <alignment vertical="center"/>
    </xf>
    <xf numFmtId="185" fontId="11" fillId="45" borderId="15" xfId="0" applyNumberFormat="1" applyFont="1" applyFill="1" applyBorder="1" applyAlignment="1" applyProtection="1">
      <alignment horizontal="right" vertical="center"/>
      <protection hidden="1"/>
    </xf>
    <xf numFmtId="0" fontId="1" fillId="0" borderId="26" xfId="64" applyBorder="1" applyAlignment="1">
      <alignment horizontal="center" vertical="center"/>
    </xf>
    <xf numFmtId="0" fontId="1" fillId="0" borderId="79" xfId="64" applyBorder="1" applyAlignment="1">
      <alignment horizontal="center" vertical="center"/>
    </xf>
    <xf numFmtId="0" fontId="1" fillId="0" borderId="93" xfId="64" applyBorder="1" applyAlignment="1">
      <alignment horizontal="center" vertical="center"/>
    </xf>
    <xf numFmtId="0" fontId="1" fillId="0" borderId="65" xfId="64" applyBorder="1" applyAlignment="1">
      <alignment horizontal="center" vertical="center"/>
    </xf>
    <xf numFmtId="0" fontId="92" fillId="0" borderId="26" xfId="64" applyFont="1" applyBorder="1" applyAlignment="1">
      <alignment horizontal="center" vertical="center" wrapText="1"/>
    </xf>
    <xf numFmtId="0" fontId="93" fillId="0" borderId="26" xfId="64" applyFont="1" applyBorder="1" applyAlignment="1">
      <alignment horizontal="center" vertical="center" wrapText="1"/>
    </xf>
    <xf numFmtId="0" fontId="92" fillId="0" borderId="79" xfId="64" applyFont="1" applyBorder="1" applyAlignment="1">
      <alignment horizontal="center" vertical="center" wrapText="1"/>
    </xf>
    <xf numFmtId="0" fontId="93" fillId="0" borderId="93" xfId="64" applyFont="1" applyBorder="1" applyAlignment="1">
      <alignment horizontal="center" vertical="center"/>
    </xf>
    <xf numFmtId="0" fontId="93" fillId="0" borderId="65" xfId="64" applyFont="1" applyBorder="1" applyAlignment="1">
      <alignment horizontal="center" vertical="center"/>
    </xf>
  </cellXfs>
  <cellStyles count="67">
    <cellStyle name="20% - Accent1" xfId="17"/>
    <cellStyle name="20% - Accent2" xfId="18"/>
    <cellStyle name="20% - Accent3" xfId="19"/>
    <cellStyle name="20% - Accent4" xfId="20"/>
    <cellStyle name="20% - Accent5" xfId="21"/>
    <cellStyle name="20% - Accent6" xfId="22"/>
    <cellStyle name="40% - Accent1" xfId="23"/>
    <cellStyle name="40% - Accent2" xfId="24"/>
    <cellStyle name="40% - Accent3" xfId="25"/>
    <cellStyle name="40% - Accent4" xfId="26"/>
    <cellStyle name="40% - Accent5" xfId="27"/>
    <cellStyle name="40% - Accent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Accent1" xfId="35"/>
    <cellStyle name="Accent2" xfId="36"/>
    <cellStyle name="Accent3" xfId="37"/>
    <cellStyle name="Accent4" xfId="38"/>
    <cellStyle name="Accent5" xfId="39"/>
    <cellStyle name="Accent6" xfId="40"/>
    <cellStyle name="Bad" xfId="41"/>
    <cellStyle name="Calculation" xfId="42"/>
    <cellStyle name="Check Cell" xfId="43"/>
    <cellStyle name="Explanatory Text" xfId="44"/>
    <cellStyle name="Good" xfId="45"/>
    <cellStyle name="Heading 1" xfId="46"/>
    <cellStyle name="Heading 2" xfId="47"/>
    <cellStyle name="Heading 3" xfId="48"/>
    <cellStyle name="Heading 4" xfId="49"/>
    <cellStyle name="Input" xfId="50"/>
    <cellStyle name="Linked Cell" xfId="51"/>
    <cellStyle name="Neutral" xfId="52"/>
    <cellStyle name="Normal 2" xfId="60"/>
    <cellStyle name="Note" xfId="53"/>
    <cellStyle name="Output" xfId="54"/>
    <cellStyle name="Title" xfId="55"/>
    <cellStyle name="Total" xfId="56"/>
    <cellStyle name="Warning Text" xfId="57"/>
    <cellStyle name="パーセント" xfId="1" builtinId="5"/>
    <cellStyle name="パーセント 2" xfId="6"/>
    <cellStyle name="パーセント 2 2" xfId="16"/>
    <cellStyle name="パーセント 2 3" xfId="15"/>
    <cellStyle name="パーセント 3" xfId="9"/>
    <cellStyle name="パーセント 3 2" xfId="14"/>
    <cellStyle name="パーセント 3 3" xfId="62"/>
    <cellStyle name="一般_Sheet1" xfId="65"/>
    <cellStyle name="桁区切り" xfId="2" builtinId="6"/>
    <cellStyle name="桁区切り 2" xfId="7"/>
    <cellStyle name="桁区切り 2 2" xfId="58"/>
    <cellStyle name="桁区切り 3" xfId="10"/>
    <cellStyle name="標準" xfId="0" builtinId="0"/>
    <cellStyle name="標準 2" xfId="5"/>
    <cellStyle name="標準 2 2" xfId="12"/>
    <cellStyle name="標準 3" xfId="3"/>
    <cellStyle name="標準 4" xfId="4"/>
    <cellStyle name="標準 4 2" xfId="13"/>
    <cellStyle name="標準 4 3" xfId="59"/>
    <cellStyle name="標準 5" xfId="8"/>
    <cellStyle name="標準 5 2" xfId="61"/>
    <cellStyle name="標準 6" xfId="11"/>
    <cellStyle name="標準 7" xfId="63"/>
    <cellStyle name="標準 8" xfId="64"/>
    <cellStyle name="標準_100204_測定ﾌｫｰﾏｯﾄ@1m積分球(Ver.8.2)" xfId="66"/>
  </cellStyles>
  <dxfs count="100">
    <dxf>
      <font>
        <condense val="0"/>
        <extend val="0"/>
        <color indexed="14"/>
      </font>
      <fill>
        <patternFill>
          <bgColor indexed="22"/>
        </patternFill>
      </fill>
    </dxf>
    <dxf>
      <font>
        <condense val="0"/>
        <extend val="0"/>
        <color indexed="14"/>
      </font>
      <fill>
        <patternFill>
          <bgColor indexed="22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strike/>
        <condense val="0"/>
        <extend val="0"/>
      </font>
      <fill>
        <patternFill>
          <bgColor indexed="10"/>
        </patternFill>
      </fill>
    </dxf>
    <dxf>
      <font>
        <b/>
        <i val="0"/>
        <strike/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3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99FF99"/>
      <color rgb="FF99FFCC"/>
      <color rgb="FF0000CC"/>
      <color rgb="FFCCFFFF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en-US"/>
              <a:t>IF-VF</a:t>
            </a:r>
          </a:p>
        </c:rich>
      </c:tx>
      <c:layout>
        <c:manualLayout>
          <c:xMode val="edge"/>
          <c:yMode val="edge"/>
          <c:x val="0.46403712296983757"/>
          <c:y val="3.85966264706422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1322505800464"/>
          <c:y val="0.12982500625344795"/>
          <c:w val="0.6357308584686775"/>
          <c:h val="0.69123043870079048"/>
        </c:manualLayout>
      </c:layout>
      <c:scatterChart>
        <c:scatterStyle val="smoothMarker"/>
        <c:varyColors val="0"/>
        <c:ser>
          <c:idx val="0"/>
          <c:order val="0"/>
          <c:tx>
            <c:strRef>
              <c:f>IF特性!$H$15</c:f>
              <c:strCache>
                <c:ptCount val="1"/>
                <c:pt idx="0">
                  <c:v>ave.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IF特性!$D$16:$D$27</c:f>
              <c:numCache>
                <c:formatCode>#"mA"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IF特性!$H$16:$H$27</c:f>
              <c:numCache>
                <c:formatCode>0.00</c:formatCode>
                <c:ptCount val="12"/>
                <c:pt idx="0">
                  <c:v>32.474000000000004</c:v>
                </c:pt>
                <c:pt idx="1">
                  <c:v>33.482999999999997</c:v>
                </c:pt>
                <c:pt idx="2">
                  <c:v>34.327500000000001</c:v>
                </c:pt>
                <c:pt idx="3">
                  <c:v>35.081000000000003</c:v>
                </c:pt>
                <c:pt idx="4">
                  <c:v>35.775999999999996</c:v>
                </c:pt>
                <c:pt idx="5">
                  <c:v>36.3215</c:v>
                </c:pt>
                <c:pt idx="6">
                  <c:v>37.040999999999997</c:v>
                </c:pt>
                <c:pt idx="7">
                  <c:v>37.629000000000005</c:v>
                </c:pt>
                <c:pt idx="8">
                  <c:v>38.186500000000002</c:v>
                </c:pt>
                <c:pt idx="9">
                  <c:v>38.730000000000004</c:v>
                </c:pt>
                <c:pt idx="10">
                  <c:v>39.596500000000006</c:v>
                </c:pt>
                <c:pt idx="11">
                  <c:v>40.407499999999999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924288"/>
        <c:axId val="62926208"/>
      </c:scatterChart>
      <c:valAx>
        <c:axId val="629242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IF [mA]</a:t>
                </a:r>
              </a:p>
            </c:rich>
          </c:tx>
          <c:layout>
            <c:manualLayout>
              <c:xMode val="edge"/>
              <c:yMode val="edge"/>
              <c:x val="0.42227378190255221"/>
              <c:y val="0.9157924490207954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2926208"/>
        <c:crosses val="autoZero"/>
        <c:crossBetween val="midCat"/>
      </c:valAx>
      <c:valAx>
        <c:axId val="629262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VF [V]</a:t>
                </a:r>
              </a:p>
            </c:rich>
          </c:tx>
          <c:layout>
            <c:manualLayout>
              <c:xMode val="edge"/>
              <c:yMode val="edge"/>
              <c:x val="3.4802784222737818E-2"/>
              <c:y val="0.40701943725565776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292428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918793503480283"/>
          <c:y val="0.47902171319494152"/>
          <c:w val="0.12296983758700697"/>
          <c:h val="5.94409265275406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C0C0C0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IF-φv</a:t>
            </a:r>
          </a:p>
        </c:rich>
      </c:tx>
      <c:layout>
        <c:manualLayout>
          <c:xMode val="edge"/>
          <c:yMode val="edge"/>
          <c:x val="0.46046560459012387"/>
          <c:y val="3.53358471036190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1164665657551"/>
          <c:y val="0.13427585005081238"/>
          <c:w val="0.6325588578293716"/>
          <c:h val="0.66431210025138765"/>
        </c:manualLayout>
      </c:layout>
      <c:scatterChart>
        <c:scatterStyle val="smoothMarker"/>
        <c:varyColors val="0"/>
        <c:ser>
          <c:idx val="0"/>
          <c:order val="0"/>
          <c:tx>
            <c:strRef>
              <c:f>IF特性!$J$30</c:f>
              <c:strCache>
                <c:ptCount val="1"/>
                <c:pt idx="0">
                  <c:v>ave.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IF特性!$D$31:$D$42</c:f>
              <c:numCache>
                <c:formatCode>#"mA"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IF特性!$J$31:$J$42</c:f>
              <c:numCache>
                <c:formatCode>0.00</c:formatCode>
                <c:ptCount val="12"/>
                <c:pt idx="0">
                  <c:v>68.561796553760459</c:v>
                </c:pt>
                <c:pt idx="1">
                  <c:v>133.83149124765302</c:v>
                </c:pt>
                <c:pt idx="2">
                  <c:v>195.28859684242448</c:v>
                </c:pt>
                <c:pt idx="3">
                  <c:v>253.4475998259754</c:v>
                </c:pt>
                <c:pt idx="4">
                  <c:v>308.5247706908923</c:v>
                </c:pt>
                <c:pt idx="5">
                  <c:v>352.16118370034275</c:v>
                </c:pt>
                <c:pt idx="6">
                  <c:v>410.11537383722123</c:v>
                </c:pt>
                <c:pt idx="7">
                  <c:v>457.27654183872266</c:v>
                </c:pt>
                <c:pt idx="8">
                  <c:v>501.57044899522759</c:v>
                </c:pt>
                <c:pt idx="9">
                  <c:v>544.19523905778055</c:v>
                </c:pt>
                <c:pt idx="10">
                  <c:v>610.37457763028794</c:v>
                </c:pt>
                <c:pt idx="11">
                  <c:v>669.40843189970019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967808"/>
        <c:axId val="62969728"/>
      </c:scatterChart>
      <c:valAx>
        <c:axId val="6296780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IF [mA]</a:t>
                </a:r>
              </a:p>
            </c:rich>
          </c:tx>
          <c:layout>
            <c:manualLayout>
              <c:xMode val="edge"/>
              <c:yMode val="edge"/>
              <c:x val="0.43720979063663551"/>
              <c:y val="0.8833935898857712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2969728"/>
        <c:crosses val="autoZero"/>
        <c:crossBetween val="midCat"/>
      </c:valAx>
      <c:valAx>
        <c:axId val="629697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φv [lm]</a:t>
                </a:r>
              </a:p>
            </c:rich>
          </c:tx>
          <c:layout>
            <c:manualLayout>
              <c:xMode val="edge"/>
              <c:yMode val="edge"/>
              <c:x val="3.7209302325581395E-2"/>
              <c:y val="0.39576060034749178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296780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581493011048038"/>
          <c:y val="0.45422572178477688"/>
          <c:w val="0.12325605810901541"/>
          <c:h val="5.985915492957744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C0C0C0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en-US"/>
              <a:t>IF/die-⊿xy</a:t>
            </a:r>
          </a:p>
        </c:rich>
      </c:tx>
      <c:layout>
        <c:manualLayout>
          <c:xMode val="edge"/>
          <c:yMode val="edge"/>
          <c:x val="0.42657437587743396"/>
          <c:y val="3.70369440871683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14960334171798"/>
          <c:y val="0.12592638138882156"/>
          <c:w val="0.5011666420059413"/>
          <c:h val="0.74815085413358695"/>
        </c:manualLayout>
      </c:layout>
      <c:scatterChart>
        <c:scatterStyle val="smoothMarker"/>
        <c:varyColors val="0"/>
        <c:ser>
          <c:idx val="0"/>
          <c:order val="0"/>
          <c:tx>
            <c:strRef>
              <c:f>IF特性!$M$45</c:f>
              <c:strCache>
                <c:ptCount val="1"/>
                <c:pt idx="0">
                  <c:v>⊿x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trendline>
            <c:spPr>
              <a:ln w="25400">
                <a:solidFill>
                  <a:srgbClr val="0000FF"/>
                </a:solidFill>
                <a:prstDash val="solid"/>
              </a:ln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40800693662310494"/>
                  <c:y val="0.26771806318758473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25" b="0" i="0" u="none" strike="noStrike" baseline="0">
                      <a:solidFill>
                        <a:srgbClr val="0000FF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IF特性!$C$46:$C$57</c:f>
              <c:numCache>
                <c:formatCode>0_);[Red]\(0\)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IF特性!$M$46:$M$57</c:f>
              <c:numCache>
                <c:formatCode>0.0000</c:formatCode>
                <c:ptCount val="12"/>
                <c:pt idx="0">
                  <c:v>4.3476078268885332E-3</c:v>
                </c:pt>
                <c:pt idx="1">
                  <c:v>3.2354232873615385E-3</c:v>
                </c:pt>
                <c:pt idx="2">
                  <c:v>2.3187563565110203E-3</c:v>
                </c:pt>
                <c:pt idx="3">
                  <c:v>1.438317402940481E-3</c:v>
                </c:pt>
                <c:pt idx="4">
                  <c:v>6.4039660610198945E-4</c:v>
                </c:pt>
                <c:pt idx="5">
                  <c:v>0</c:v>
                </c:pt>
                <c:pt idx="6">
                  <c:v>-7.1112148318147606E-4</c:v>
                </c:pt>
                <c:pt idx="7">
                  <c:v>-1.2914850996250116E-3</c:v>
                </c:pt>
                <c:pt idx="8">
                  <c:v>-1.8432405340589875E-3</c:v>
                </c:pt>
                <c:pt idx="9">
                  <c:v>-2.3812570305369873E-3</c:v>
                </c:pt>
                <c:pt idx="10">
                  <c:v>-3.1687125582944842E-3</c:v>
                </c:pt>
                <c:pt idx="11">
                  <c:v>-3.8408154393400062E-3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IF特性!$N$45</c:f>
              <c:strCache>
                <c:ptCount val="1"/>
                <c:pt idx="0">
                  <c:v>⊿y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trendline>
            <c:spPr>
              <a:ln w="25400">
                <a:solidFill>
                  <a:srgbClr val="FF00FF"/>
                </a:solidFill>
                <a:prstDash val="solid"/>
              </a:ln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42474022791162408"/>
                  <c:y val="0.43778843630755332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25" b="0" i="0" u="none" strike="noStrike" baseline="0">
                      <a:solidFill>
                        <a:srgbClr val="FF00FF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IF特性!$C$46:$C$57</c:f>
              <c:numCache>
                <c:formatCode>0_);[Red]\(0\)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IF特性!$N$46:$N$57</c:f>
              <c:numCache>
                <c:formatCode>0.0000</c:formatCode>
                <c:ptCount val="12"/>
                <c:pt idx="0">
                  <c:v>-3.8806683694547761E-4</c:v>
                </c:pt>
                <c:pt idx="1">
                  <c:v>-1.7135397634693295E-4</c:v>
                </c:pt>
                <c:pt idx="2">
                  <c:v>-1.1853974312914239E-5</c:v>
                </c:pt>
                <c:pt idx="3">
                  <c:v>-1.2823637542958011E-5</c:v>
                </c:pt>
                <c:pt idx="4">
                  <c:v>2.3317013441548351E-5</c:v>
                </c:pt>
                <c:pt idx="5">
                  <c:v>0</c:v>
                </c:pt>
                <c:pt idx="6">
                  <c:v>2.9704709008537833E-5</c:v>
                </c:pt>
                <c:pt idx="7">
                  <c:v>5.9180480127540847E-5</c:v>
                </c:pt>
                <c:pt idx="8">
                  <c:v>1.2621913477561808E-5</c:v>
                </c:pt>
                <c:pt idx="9">
                  <c:v>-6.28863155909265E-5</c:v>
                </c:pt>
                <c:pt idx="10">
                  <c:v>-1.4602631422594436E-4</c:v>
                </c:pt>
                <c:pt idx="11">
                  <c:v>-1.6911193651047984E-4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907584"/>
        <c:axId val="111909504"/>
      </c:scatterChart>
      <c:valAx>
        <c:axId val="111907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IF/die [mA]</a:t>
                </a:r>
              </a:p>
            </c:rich>
          </c:tx>
          <c:layout>
            <c:manualLayout>
              <c:xMode val="edge"/>
              <c:yMode val="edge"/>
              <c:x val="0.84164219007507779"/>
              <c:y val="0.920159362549800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1909504"/>
        <c:crosses val="autoZero"/>
        <c:crossBetween val="midCat"/>
      </c:valAx>
      <c:valAx>
        <c:axId val="111909504"/>
        <c:scaling>
          <c:orientation val="minMax"/>
          <c:max val="0.01"/>
          <c:min val="-0.0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9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⊿ｘｙ</a:t>
                </a:r>
              </a:p>
            </c:rich>
          </c:tx>
          <c:layout>
            <c:manualLayout>
              <c:xMode val="edge"/>
              <c:yMode val="edge"/>
              <c:x val="2.3310016480498078E-2"/>
              <c:y val="0.44814965858351374"/>
            </c:manualLayout>
          </c:layout>
          <c:overlay val="0"/>
          <c:spPr>
            <a:noFill/>
            <a:ln w="25400">
              <a:noFill/>
            </a:ln>
          </c:spPr>
        </c:title>
        <c:numFmt formatCode="0.000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190758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2605749862663"/>
          <c:y val="0.39259403331555665"/>
          <c:w val="0.24009375572239511"/>
          <c:h val="0.255556461816774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IF-φv</a:t>
            </a:r>
          </a:p>
        </c:rich>
      </c:tx>
      <c:layout>
        <c:manualLayout>
          <c:xMode val="edge"/>
          <c:yMode val="edge"/>
          <c:x val="0.45996592844974449"/>
          <c:y val="3.1180400890868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035775127768313"/>
          <c:y val="0.14031180400890869"/>
          <c:w val="0.77001703577512781"/>
          <c:h val="0.7037861915367483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IF特性!$E$30</c:f>
              <c:strCache>
                <c:ptCount val="1"/>
                <c:pt idx="0">
                  <c:v>No.1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IF特性!$D$31:$D$42</c:f>
              <c:numCache>
                <c:formatCode>#"mA"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IF特性!$E$31:$E$42</c:f>
              <c:numCache>
                <c:formatCode>0.0</c:formatCode>
                <c:ptCount val="12"/>
                <c:pt idx="0">
                  <c:v>136.77803725551601</c:v>
                </c:pt>
                <c:pt idx="1">
                  <c:v>267.30622472612998</c:v>
                </c:pt>
                <c:pt idx="2">
                  <c:v>390.22746442721598</c:v>
                </c:pt>
                <c:pt idx="3">
                  <c:v>506.72858533662202</c:v>
                </c:pt>
                <c:pt idx="4">
                  <c:v>616.96873433910298</c:v>
                </c:pt>
                <c:pt idx="5">
                  <c:v>704.58566013175903</c:v>
                </c:pt>
                <c:pt idx="6">
                  <c:v>820.64569240258902</c:v>
                </c:pt>
                <c:pt idx="7">
                  <c:v>915.46990899674995</c:v>
                </c:pt>
                <c:pt idx="8">
                  <c:v>1004.27186135326</c:v>
                </c:pt>
                <c:pt idx="9">
                  <c:v>1090.2780986549601</c:v>
                </c:pt>
                <c:pt idx="10">
                  <c:v>1224.22510475287</c:v>
                </c:pt>
                <c:pt idx="11">
                  <c:v>1344.9225888937899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IF特性!$G$30</c:f>
              <c:strCache>
                <c:ptCount val="1"/>
                <c:pt idx="0">
                  <c:v>No.2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IF特性!$D$31:$D$42</c:f>
              <c:numCache>
                <c:formatCode>#"mA"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IF特性!$G$31:$G$42</c:f>
              <c:numCache>
                <c:formatCode>0.0</c:formatCode>
                <c:ptCount val="12"/>
                <c:pt idx="0">
                  <c:v>137.07976957245199</c:v>
                </c:pt>
                <c:pt idx="1">
                  <c:v>267.25967977113697</c:v>
                </c:pt>
                <c:pt idx="2">
                  <c:v>389.81783397358203</c:v>
                </c:pt>
                <c:pt idx="3">
                  <c:v>505.62242807598801</c:v>
                </c:pt>
                <c:pt idx="4">
                  <c:v>615.37816752149604</c:v>
                </c:pt>
                <c:pt idx="5">
                  <c:v>702.05907466961196</c:v>
                </c:pt>
                <c:pt idx="6">
                  <c:v>817.48666904093795</c:v>
                </c:pt>
                <c:pt idx="7">
                  <c:v>911.03928829640302</c:v>
                </c:pt>
                <c:pt idx="8">
                  <c:v>999.16141075116695</c:v>
                </c:pt>
                <c:pt idx="9">
                  <c:v>1083.4122619376001</c:v>
                </c:pt>
                <c:pt idx="10">
                  <c:v>1213.8067711127601</c:v>
                </c:pt>
                <c:pt idx="11">
                  <c:v>1328.90945113199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IF特性!$I$30</c:f>
              <c:strCache>
                <c:ptCount val="1"/>
                <c:pt idx="0">
                  <c:v>No.**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IF特性!$D$31:$D$42</c:f>
              <c:numCache>
                <c:formatCode>#"mA"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IF特性!$I$31:$I$42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459392"/>
        <c:axId val="114461312"/>
      </c:scatterChart>
      <c:valAx>
        <c:axId val="114459392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IF [mA]</a:t>
                </a:r>
              </a:p>
            </c:rich>
          </c:tx>
          <c:layout>
            <c:manualLayout>
              <c:xMode val="edge"/>
              <c:yMode val="edge"/>
              <c:x val="0.50255536626916519"/>
              <c:y val="0.91759465478841873"/>
            </c:manualLayout>
          </c:layout>
          <c:overlay val="0"/>
          <c:spPr>
            <a:noFill/>
            <a:ln w="25400">
              <a:noFill/>
            </a:ln>
          </c:spPr>
        </c:title>
        <c:numFmt formatCode="#&quot;mA&quot;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4461312"/>
        <c:crosses val="autoZero"/>
        <c:crossBetween val="midCat"/>
      </c:valAx>
      <c:valAx>
        <c:axId val="11446131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φv [lm]</a:t>
                </a:r>
              </a:p>
            </c:rich>
          </c:tx>
          <c:layout>
            <c:manualLayout>
              <c:xMode val="edge"/>
              <c:yMode val="edge"/>
              <c:x val="2.5553662691652469E-2"/>
              <c:y val="0.42984409799554568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4459392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068143100511069"/>
          <c:y val="0.38530066815144765"/>
          <c:w val="0.12095400340715501"/>
          <c:h val="0.1380846325167038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99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en-US"/>
              <a:t>IF-VF</a:t>
            </a:r>
          </a:p>
        </c:rich>
      </c:tx>
      <c:layout>
        <c:manualLayout>
          <c:xMode val="edge"/>
          <c:yMode val="edge"/>
          <c:x val="0.46921825286308666"/>
          <c:y val="3.13901345291479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14485065974894"/>
          <c:y val="0.14349775784753363"/>
          <c:w val="0.55906867384817127"/>
          <c:h val="0.6704035874439462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IF特性!$E$15</c:f>
              <c:strCache>
                <c:ptCount val="1"/>
                <c:pt idx="0">
                  <c:v>No.1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IF特性!$D$16:$D$27</c:f>
              <c:numCache>
                <c:formatCode>#"mA"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IF特性!$E$16:$E$27</c:f>
              <c:numCache>
                <c:formatCode>0.0</c:formatCode>
                <c:ptCount val="12"/>
                <c:pt idx="0">
                  <c:v>32.472999999999999</c:v>
                </c:pt>
                <c:pt idx="1">
                  <c:v>33.482999999999997</c:v>
                </c:pt>
                <c:pt idx="2">
                  <c:v>34.329000000000001</c:v>
                </c:pt>
                <c:pt idx="3">
                  <c:v>35.085000000000001</c:v>
                </c:pt>
                <c:pt idx="4">
                  <c:v>35.783000000000001</c:v>
                </c:pt>
                <c:pt idx="5">
                  <c:v>36.332000000000001</c:v>
                </c:pt>
                <c:pt idx="6">
                  <c:v>37.054000000000002</c:v>
                </c:pt>
                <c:pt idx="7">
                  <c:v>37.646000000000001</c:v>
                </c:pt>
                <c:pt idx="8">
                  <c:v>38.206000000000003</c:v>
                </c:pt>
                <c:pt idx="9">
                  <c:v>38.753999999999998</c:v>
                </c:pt>
                <c:pt idx="10">
                  <c:v>39.627000000000002</c:v>
                </c:pt>
                <c:pt idx="11">
                  <c:v>40.447000000000003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IF特性!$F$15</c:f>
              <c:strCache>
                <c:ptCount val="1"/>
                <c:pt idx="0">
                  <c:v>No.2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IF特性!$D$16:$D$27</c:f>
              <c:numCache>
                <c:formatCode>#"mA"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IF特性!$F$16:$F$27</c:f>
              <c:numCache>
                <c:formatCode>0.0</c:formatCode>
                <c:ptCount val="12"/>
                <c:pt idx="0">
                  <c:v>32.475000000000001</c:v>
                </c:pt>
                <c:pt idx="1">
                  <c:v>33.482999999999997</c:v>
                </c:pt>
                <c:pt idx="2">
                  <c:v>34.326000000000001</c:v>
                </c:pt>
                <c:pt idx="3">
                  <c:v>35.076999999999998</c:v>
                </c:pt>
                <c:pt idx="4">
                  <c:v>35.768999999999998</c:v>
                </c:pt>
                <c:pt idx="5">
                  <c:v>36.311</c:v>
                </c:pt>
                <c:pt idx="6">
                  <c:v>37.027999999999999</c:v>
                </c:pt>
                <c:pt idx="7">
                  <c:v>37.612000000000002</c:v>
                </c:pt>
                <c:pt idx="8">
                  <c:v>38.167000000000002</c:v>
                </c:pt>
                <c:pt idx="9">
                  <c:v>38.706000000000003</c:v>
                </c:pt>
                <c:pt idx="10">
                  <c:v>39.566000000000003</c:v>
                </c:pt>
                <c:pt idx="11">
                  <c:v>40.368000000000002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IF特性!$G$15</c:f>
              <c:strCache>
                <c:ptCount val="1"/>
                <c:pt idx="0">
                  <c:v>No.**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IF特性!$D$16:$D$27</c:f>
              <c:numCache>
                <c:formatCode>#"mA"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IF特性!$G$16:$G$27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510080"/>
        <c:axId val="114520448"/>
      </c:scatterChart>
      <c:valAx>
        <c:axId val="114510080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IF [mA]</a:t>
                </a:r>
              </a:p>
            </c:rich>
          </c:tx>
          <c:layout>
            <c:manualLayout>
              <c:xMode val="edge"/>
              <c:yMode val="edge"/>
              <c:x val="0.35274577816036662"/>
              <c:y val="0.9170403587443946"/>
            </c:manualLayout>
          </c:layout>
          <c:overlay val="0"/>
          <c:spPr>
            <a:noFill/>
            <a:ln w="25400">
              <a:noFill/>
            </a:ln>
          </c:spPr>
        </c:title>
        <c:numFmt formatCode="#&quot;mA&quot;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4520448"/>
        <c:crosses val="autoZero"/>
        <c:crossBetween val="midCat"/>
      </c:valAx>
      <c:valAx>
        <c:axId val="114520448"/>
        <c:scaling>
          <c:orientation val="minMax"/>
          <c:max val="45"/>
          <c:min val="3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VF [V]</a:t>
                </a:r>
              </a:p>
            </c:rich>
          </c:tx>
          <c:layout>
            <c:manualLayout>
              <c:xMode val="edge"/>
              <c:yMode val="edge"/>
              <c:x val="2.8286198951819125E-2"/>
              <c:y val="0.428251121076233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4510080"/>
        <c:crosses val="autoZero"/>
        <c:crossBetween val="midCat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582061084808131"/>
          <c:y val="0.38789237668161436"/>
          <c:w val="0.11736351284063773"/>
          <c:h val="0.139013452914798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99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copies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en-US"/>
              <a:t>Tc-VF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200" b="0" i="0" u="none" strike="noStrike" baseline="0">
                      <a:solidFill>
                        <a:srgbClr val="FF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'\\svfile2\オプトデバイス開発部\オプト照明製品開発課\10_製品\CLU7X2シリーズ(HI-ver.3)\3.試作\2.DR2\180917@HI-V3_DR2試作結果資料\LM-80,ディレーティング,樹脂温度\[20180604@CQ7B03H0701C4-303H5R2_HI-Ver.3代表特性_No1&amp;2.xls]熱抵抗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\\svfile2\オプトデバイス開発部\オプト照明製品開発課\10_製品\CLU7X2シリーズ(HI-ver.3)\3.試作\2.DR2\180917@HI-V3_DR2試作結果資料\LM-80,ディレーティング,樹脂温度\[20180604@CQ7B03H0701C4-303H5R2_HI-Ver.3代表特性_No1&amp;2.xls]熱抵抗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539136"/>
        <c:axId val="115999488"/>
      </c:scatterChart>
      <c:valAx>
        <c:axId val="114539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Tc ［℃］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5999488"/>
        <c:crosses val="autoZero"/>
        <c:crossBetween val="midCat"/>
      </c:valAx>
      <c:valAx>
        <c:axId val="115999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VF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453913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Tc-Φv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200" b="0" i="0" u="none" strike="noStrike" baseline="0">
                      <a:solidFill>
                        <a:srgbClr val="FF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'\\svfile2\オプトデバイス開発部\オプト照明製品開発課\10_製品\CLU7X2シリーズ(HI-ver.3)\3.試作\2.DR2\180917@HI-V3_DR2試作結果資料\LM-80,ディレーティング,樹脂温度\[20180604@CQ7B03H0701C4-303H5R2_HI-Ver.3代表特性_No1&amp;2.xls]熱抵抗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\\svfile2\オプトデバイス開発部\オプト照明製品開発課\10_製品\CLU7X2シリーズ(HI-ver.3)\3.試作\2.DR2\180917@HI-V3_DR2試作結果資料\LM-80,ディレーティング,樹脂温度\[20180604@CQ7B03H0701C4-303H5R2_HI-Ver.3代表特性_No1&amp;2.xls]熱抵抗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037888"/>
        <c:axId val="116044160"/>
      </c:scatterChart>
      <c:valAx>
        <c:axId val="116037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Tc ［℃］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044160"/>
        <c:crosses val="autoZero"/>
        <c:crossBetween val="midCat"/>
      </c:valAx>
      <c:valAx>
        <c:axId val="11604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Φv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03788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en-US"/>
              <a:t>IF-xy</a:t>
            </a:r>
          </a:p>
        </c:rich>
      </c:tx>
      <c:layout>
        <c:manualLayout>
          <c:xMode val="edge"/>
          <c:yMode val="edge"/>
          <c:x val="0.46755449780996028"/>
          <c:y val="3.10421286031042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42274791261628"/>
          <c:y val="0.15077621645498768"/>
          <c:w val="0.68885247313435383"/>
          <c:h val="0.68957946055148778"/>
        </c:manualLayout>
      </c:layout>
      <c:scatterChart>
        <c:scatterStyle val="lineMarker"/>
        <c:varyColors val="0"/>
        <c:ser>
          <c:idx val="2"/>
          <c:order val="0"/>
          <c:tx>
            <c:strRef>
              <c:f>IF特性!$E$44</c:f>
              <c:strCache>
                <c:ptCount val="1"/>
                <c:pt idx="0">
                  <c:v>No.1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IF特性!$E$46:$E$57</c:f>
              <c:numCache>
                <c:formatCode>0.0000</c:formatCode>
                <c:ptCount val="12"/>
                <c:pt idx="0">
                  <c:v>0.43873128436225101</c:v>
                </c:pt>
                <c:pt idx="1">
                  <c:v>0.43788051859988603</c:v>
                </c:pt>
                <c:pt idx="2">
                  <c:v>0.43696388635054301</c:v>
                </c:pt>
                <c:pt idx="3">
                  <c:v>0.43609861830291902</c:v>
                </c:pt>
                <c:pt idx="4">
                  <c:v>0.435299683222586</c:v>
                </c:pt>
                <c:pt idx="5">
                  <c:v>0.43467890798671599</c:v>
                </c:pt>
                <c:pt idx="6">
                  <c:v>0.43402314154440302</c:v>
                </c:pt>
                <c:pt idx="7">
                  <c:v>0.43340438704520701</c:v>
                </c:pt>
                <c:pt idx="8">
                  <c:v>0.43290526725162798</c:v>
                </c:pt>
                <c:pt idx="9">
                  <c:v>0.43238318480419402</c:v>
                </c:pt>
                <c:pt idx="10">
                  <c:v>0.43157347309876498</c:v>
                </c:pt>
                <c:pt idx="11">
                  <c:v>0.43086006457824799</c:v>
                </c:pt>
              </c:numCache>
            </c:numRef>
          </c:xVal>
          <c:yVal>
            <c:numRef>
              <c:f>IF特性!$F$46:$F$57</c:f>
              <c:numCache>
                <c:formatCode>0.0000</c:formatCode>
                <c:ptCount val="12"/>
                <c:pt idx="0">
                  <c:v>0.40499136414356901</c:v>
                </c:pt>
                <c:pt idx="1">
                  <c:v>0.40525050156234099</c:v>
                </c:pt>
                <c:pt idx="2">
                  <c:v>0.40541436324673502</c:v>
                </c:pt>
                <c:pt idx="3">
                  <c:v>0.40535354006423802</c:v>
                </c:pt>
                <c:pt idx="4">
                  <c:v>0.40543140875133998</c:v>
                </c:pt>
                <c:pt idx="5">
                  <c:v>0.40539543414955698</c:v>
                </c:pt>
                <c:pt idx="6">
                  <c:v>0.40544605042856202</c:v>
                </c:pt>
                <c:pt idx="7">
                  <c:v>0.40540475663636899</c:v>
                </c:pt>
                <c:pt idx="8">
                  <c:v>0.40539298418307501</c:v>
                </c:pt>
                <c:pt idx="9">
                  <c:v>0.40535323807997697</c:v>
                </c:pt>
                <c:pt idx="10">
                  <c:v>0.40519440495641401</c:v>
                </c:pt>
                <c:pt idx="11">
                  <c:v>0.40513442643309699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IF特性!$G$44</c:f>
              <c:strCache>
                <c:ptCount val="1"/>
                <c:pt idx="0">
                  <c:v>No.2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IF特性!$G$46:$G$57</c:f>
              <c:numCache>
                <c:formatCode>0.0000</c:formatCode>
                <c:ptCount val="12"/>
                <c:pt idx="0">
                  <c:v>0.43959595857099298</c:v>
                </c:pt>
                <c:pt idx="1">
                  <c:v>0.43822235525430397</c:v>
                </c:pt>
                <c:pt idx="2">
                  <c:v>0.43730565364194601</c:v>
                </c:pt>
                <c:pt idx="3">
                  <c:v>0.43641004378242898</c:v>
                </c:pt>
                <c:pt idx="4">
                  <c:v>0.43561313726908502</c:v>
                </c:pt>
                <c:pt idx="5">
                  <c:v>0.43495311929275099</c:v>
                </c:pt>
                <c:pt idx="6">
                  <c:v>0.434186642768701</c:v>
                </c:pt>
                <c:pt idx="7">
                  <c:v>0.43364467003501</c:v>
                </c:pt>
                <c:pt idx="8">
                  <c:v>0.43304027895972103</c:v>
                </c:pt>
                <c:pt idx="9">
                  <c:v>0.43248632841419898</c:v>
                </c:pt>
                <c:pt idx="10">
                  <c:v>0.43172112906411297</c:v>
                </c:pt>
                <c:pt idx="11">
                  <c:v>0.43109033182253897</c:v>
                </c:pt>
              </c:numCache>
            </c:numRef>
          </c:xVal>
          <c:yVal>
            <c:numRef>
              <c:f>IF特性!$H$46:$H$57</c:f>
              <c:numCache>
                <c:formatCode>0.0000</c:formatCode>
                <c:ptCount val="12"/>
                <c:pt idx="0">
                  <c:v>0.405489240877559</c:v>
                </c:pt>
                <c:pt idx="1">
                  <c:v>0.40566352917998399</c:v>
                </c:pt>
                <c:pt idx="2">
                  <c:v>0.405818667499658</c:v>
                </c:pt>
                <c:pt idx="3">
                  <c:v>0.40587755135569498</c:v>
                </c:pt>
                <c:pt idx="4">
                  <c:v>0.40587196397056202</c:v>
                </c:pt>
                <c:pt idx="5">
                  <c:v>0.40586130454546199</c:v>
                </c:pt>
                <c:pt idx="6">
                  <c:v>0.40587009768447402</c:v>
                </c:pt>
                <c:pt idx="7">
                  <c:v>0.405970343018905</c:v>
                </c:pt>
                <c:pt idx="8">
                  <c:v>0.40588899833889902</c:v>
                </c:pt>
                <c:pt idx="9">
                  <c:v>0.40577772798386003</c:v>
                </c:pt>
                <c:pt idx="10">
                  <c:v>0.40577028111015301</c:v>
                </c:pt>
                <c:pt idx="11">
                  <c:v>0.40578408838890101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IF特性!$I$44</c:f>
              <c:strCache>
                <c:ptCount val="1"/>
                <c:pt idx="0">
                  <c:v>No.**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strRef>
              <c:f>IF特性!$I$46:$I$57</c:f>
              <c:strCache>
                <c:ptCount val="12"/>
                <c:pt idx="0">
                  <c:v>記入</c:v>
                </c:pt>
                <c:pt idx="1">
                  <c:v>記入</c:v>
                </c:pt>
                <c:pt idx="2">
                  <c:v>記入</c:v>
                </c:pt>
                <c:pt idx="3">
                  <c:v>記入</c:v>
                </c:pt>
                <c:pt idx="4">
                  <c:v>記入</c:v>
                </c:pt>
                <c:pt idx="5">
                  <c:v>記入</c:v>
                </c:pt>
                <c:pt idx="6">
                  <c:v>記入</c:v>
                </c:pt>
                <c:pt idx="7">
                  <c:v>記入</c:v>
                </c:pt>
                <c:pt idx="8">
                  <c:v>記入</c:v>
                </c:pt>
                <c:pt idx="9">
                  <c:v>記入</c:v>
                </c:pt>
                <c:pt idx="10">
                  <c:v>記入</c:v>
                </c:pt>
                <c:pt idx="11">
                  <c:v>記入</c:v>
                </c:pt>
              </c:strCache>
            </c:strRef>
          </c:xVal>
          <c:yVal>
            <c:numRef>
              <c:f>IF特性!$J$46:$J$57</c:f>
              <c:numCache>
                <c:formatCode>0.000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IF特性!$J$86</c:f>
              <c:strCache>
                <c:ptCount val="1"/>
                <c:pt idx="0">
                  <c:v>303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IF特性!$J$95:$J$455</c:f>
              <c:numCache>
                <c:formatCode>General</c:formatCode>
                <c:ptCount val="361"/>
                <c:pt idx="0">
                  <c:v>0.4388993527714305</c:v>
                </c:pt>
                <c:pt idx="1">
                  <c:v>0.43884159695468916</c:v>
                </c:pt>
                <c:pt idx="2">
                  <c:v>0.4387823358796451</c:v>
                </c:pt>
                <c:pt idx="3">
                  <c:v>0.43872158759779589</c:v>
                </c:pt>
                <c:pt idx="4">
                  <c:v>0.43865937061365656</c:v>
                </c:pt>
                <c:pt idx="5">
                  <c:v>0.43859570387912328</c:v>
                </c:pt>
                <c:pt idx="6">
                  <c:v>0.43853060678770012</c:v>
                </c:pt>
                <c:pt idx="7">
                  <c:v>0.43846409916859175</c:v>
                </c:pt>
                <c:pt idx="8">
                  <c:v>0.43839620128066314</c:v>
                </c:pt>
                <c:pt idx="9">
                  <c:v>0.4383269338062688</c:v>
                </c:pt>
                <c:pt idx="10">
                  <c:v>0.43825631784495239</c:v>
                </c:pt>
                <c:pt idx="11">
                  <c:v>0.43818437490701984</c:v>
                </c:pt>
                <c:pt idx="12">
                  <c:v>0.43811112690698695</c:v>
                </c:pt>
                <c:pt idx="13">
                  <c:v>0.43803659615690405</c:v>
                </c:pt>
                <c:pt idx="14">
                  <c:v>0.43796080535955961</c:v>
                </c:pt>
                <c:pt idx="15">
                  <c:v>0.43788377760156483</c:v>
                </c:pt>
                <c:pt idx="16">
                  <c:v>0.43780553634632086</c:v>
                </c:pt>
                <c:pt idx="17">
                  <c:v>0.43772610542687201</c:v>
                </c:pt>
                <c:pt idx="18">
                  <c:v>0.4376455090386458</c:v>
                </c:pt>
                <c:pt idx="19">
                  <c:v>0.43756377173208288</c:v>
                </c:pt>
                <c:pt idx="20">
                  <c:v>0.43748091840515863</c:v>
                </c:pt>
                <c:pt idx="21">
                  <c:v>0.43739697429579905</c:v>
                </c:pt>
                <c:pt idx="22">
                  <c:v>0.43731196497419295</c:v>
                </c:pt>
                <c:pt idx="23">
                  <c:v>0.4372259163350033</c:v>
                </c:pt>
                <c:pt idx="24">
                  <c:v>0.43713885458947915</c:v>
                </c:pt>
                <c:pt idx="25">
                  <c:v>0.43705080625747156</c:v>
                </c:pt>
                <c:pt idx="26">
                  <c:v>0.43696179815935537</c:v>
                </c:pt>
                <c:pt idx="27">
                  <c:v>0.43687185740785955</c:v>
                </c:pt>
                <c:pt idx="28">
                  <c:v>0.43678101139980824</c:v>
                </c:pt>
                <c:pt idx="29">
                  <c:v>0.43668928780777561</c:v>
                </c:pt>
                <c:pt idx="30">
                  <c:v>0.43659671457165627</c:v>
                </c:pt>
                <c:pt idx="31">
                  <c:v>0.43650331989015473</c:v>
                </c:pt>
                <c:pt idx="32">
                  <c:v>0.43640913221219574</c:v>
                </c:pt>
                <c:pt idx="33">
                  <c:v>0.43631418022825841</c:v>
                </c:pt>
                <c:pt idx="34">
                  <c:v>0.43621849286163683</c:v>
                </c:pt>
                <c:pt idx="35">
                  <c:v>0.43612209925962986</c:v>
                </c:pt>
                <c:pt idx="36">
                  <c:v>0.43602502878466248</c:v>
                </c:pt>
                <c:pt idx="37">
                  <c:v>0.43592731100534166</c:v>
                </c:pt>
                <c:pt idx="38">
                  <c:v>0.4358289756874496</c:v>
                </c:pt>
                <c:pt idx="39">
                  <c:v>0.43573005278487675</c:v>
                </c:pt>
                <c:pt idx="40">
                  <c:v>0.43563057243049752</c:v>
                </c:pt>
                <c:pt idx="41">
                  <c:v>0.43553056492699149</c:v>
                </c:pt>
                <c:pt idx="42">
                  <c:v>0.43543006073761309</c:v>
                </c:pt>
                <c:pt idx="43">
                  <c:v>0.43532909047691198</c:v>
                </c:pt>
                <c:pt idx="44">
                  <c:v>0.43522768490140767</c:v>
                </c:pt>
                <c:pt idx="45">
                  <c:v>0.43512587490022087</c:v>
                </c:pt>
                <c:pt idx="46">
                  <c:v>0.43502369148566411</c:v>
                </c:pt>
                <c:pt idx="47">
                  <c:v>0.43492116578379536</c:v>
                </c:pt>
                <c:pt idx="48">
                  <c:v>0.43481832902493661</c:v>
                </c:pt>
                <c:pt idx="49">
                  <c:v>0.43471521253416084</c:v>
                </c:pt>
                <c:pt idx="50">
                  <c:v>0.43461184772174999</c:v>
                </c:pt>
                <c:pt idx="51">
                  <c:v>0.4345082660736273</c:v>
                </c:pt>
                <c:pt idx="52">
                  <c:v>0.43440449914176615</c:v>
                </c:pt>
                <c:pt idx="53">
                  <c:v>0.43430057853457926</c:v>
                </c:pt>
                <c:pt idx="54">
                  <c:v>0.43419653590729024</c:v>
                </c:pt>
                <c:pt idx="55">
                  <c:v>0.43409240295229123</c:v>
                </c:pt>
                <c:pt idx="56">
                  <c:v>0.43398821138948912</c:v>
                </c:pt>
                <c:pt idx="57">
                  <c:v>0.43388399295664326</c:v>
                </c:pt>
                <c:pt idx="58">
                  <c:v>0.43377977939969781</c:v>
                </c:pt>
                <c:pt idx="59">
                  <c:v>0.43367560246311188</c:v>
                </c:pt>
                <c:pt idx="60">
                  <c:v>0.43357149388018945</c:v>
                </c:pt>
                <c:pt idx="61">
                  <c:v>0.4334674853634134</c:v>
                </c:pt>
                <c:pt idx="62">
                  <c:v>0.43336360859478557</c:v>
                </c:pt>
                <c:pt idx="63">
                  <c:v>0.43325989521617586</c:v>
                </c:pt>
                <c:pt idx="64">
                  <c:v>0.43315637681968416</c:v>
                </c:pt>
                <c:pt idx="65">
                  <c:v>0.43305308493801686</c:v>
                </c:pt>
                <c:pt idx="66">
                  <c:v>0.43295005103488166</c:v>
                </c:pt>
                <c:pt idx="67">
                  <c:v>0.43284730649540354</c:v>
                </c:pt>
                <c:pt idx="68">
                  <c:v>0.43274488261656469</c:v>
                </c:pt>
                <c:pt idx="69">
                  <c:v>0.43264281059767062</c:v>
                </c:pt>
                <c:pt idx="70">
                  <c:v>0.43254112153084723</c:v>
                </c:pt>
                <c:pt idx="71">
                  <c:v>0.43243984639156924</c:v>
                </c:pt>
                <c:pt idx="72">
                  <c:v>0.43233901602922525</c:v>
                </c:pt>
                <c:pt idx="73">
                  <c:v>0.43223866115772036</c:v>
                </c:pt>
                <c:pt idx="74">
                  <c:v>0.43213881234612056</c:v>
                </c:pt>
                <c:pt idx="75">
                  <c:v>0.4320395000093411</c:v>
                </c:pt>
                <c:pt idx="76">
                  <c:v>0.43194075439888191</c:v>
                </c:pt>
                <c:pt idx="77">
                  <c:v>0.43184260559361243</c:v>
                </c:pt>
                <c:pt idx="78">
                  <c:v>0.43174508349060958</c:v>
                </c:pt>
                <c:pt idx="79">
                  <c:v>0.43164821779605062</c:v>
                </c:pt>
                <c:pt idx="80">
                  <c:v>0.43155203801616454</c:v>
                </c:pt>
                <c:pt idx="81">
                  <c:v>0.4314565734482439</c:v>
                </c:pt>
                <c:pt idx="82">
                  <c:v>0.43136185317172093</c:v>
                </c:pt>
                <c:pt idx="83">
                  <c:v>0.43126790603930948</c:v>
                </c:pt>
                <c:pt idx="84">
                  <c:v>0.43117476066821608</c:v>
                </c:pt>
                <c:pt idx="85">
                  <c:v>0.4310824454314231</c:v>
                </c:pt>
                <c:pt idx="86">
                  <c:v>0.43099098844904604</c:v>
                </c:pt>
                <c:pt idx="87">
                  <c:v>0.4309004175797676</c:v>
                </c:pt>
                <c:pt idx="88">
                  <c:v>0.43081076041235195</c:v>
                </c:pt>
                <c:pt idx="89">
                  <c:v>0.43072204425724087</c:v>
                </c:pt>
                <c:pt idx="90">
                  <c:v>0.43063429613823456</c:v>
                </c:pt>
                <c:pt idx="91">
                  <c:v>0.43054754278426016</c:v>
                </c:pt>
                <c:pt idx="92">
                  <c:v>0.43046181062122962</c:v>
                </c:pt>
                <c:pt idx="93">
                  <c:v>0.43037712576399034</c:v>
                </c:pt>
                <c:pt idx="94">
                  <c:v>0.43029351400837024</c:v>
                </c:pt>
                <c:pt idx="95">
                  <c:v>0.43021100082331992</c:v>
                </c:pt>
                <c:pt idx="96">
                  <c:v>0.43012961134315503</c:v>
                </c:pt>
                <c:pt idx="97">
                  <c:v>0.4300493703598996</c:v>
                </c:pt>
                <c:pt idx="98">
                  <c:v>0.42997030231573435</c:v>
                </c:pt>
                <c:pt idx="99">
                  <c:v>0.42989243129555166</c:v>
                </c:pt>
                <c:pt idx="100">
                  <c:v>0.42981578101961848</c:v>
                </c:pt>
                <c:pt idx="101">
                  <c:v>0.42974037483635141</c:v>
                </c:pt>
                <c:pt idx="102">
                  <c:v>0.42966623571520446</c:v>
                </c:pt>
                <c:pt idx="103">
                  <c:v>0.42959338623967203</c:v>
                </c:pt>
                <c:pt idx="104">
                  <c:v>0.42952184860041004</c:v>
                </c:pt>
                <c:pt idx="105">
                  <c:v>0.42945164458847651</c:v>
                </c:pt>
                <c:pt idx="106">
                  <c:v>0.42938279558869358</c:v>
                </c:pt>
                <c:pt idx="107">
                  <c:v>0.42931532257313337</c:v>
                </c:pt>
                <c:pt idx="108">
                  <c:v>0.4292492460947302</c:v>
                </c:pt>
                <c:pt idx="109">
                  <c:v>0.42918458628101946</c:v>
                </c:pt>
                <c:pt idx="110">
                  <c:v>0.42912136282800672</c:v>
                </c:pt>
                <c:pt idx="111">
                  <c:v>0.42905959499416829</c:v>
                </c:pt>
                <c:pt idx="112">
                  <c:v>0.42899930159458471</c:v>
                </c:pt>
                <c:pt idx="113">
                  <c:v>0.42894050099520953</c:v>
                </c:pt>
                <c:pt idx="114">
                  <c:v>0.42888321110727495</c:v>
                </c:pt>
                <c:pt idx="115">
                  <c:v>0.42882744938183581</c:v>
                </c:pt>
                <c:pt idx="116">
                  <c:v>0.4287732328044539</c:v>
                </c:pt>
                <c:pt idx="117">
                  <c:v>0.42872057789002382</c:v>
                </c:pt>
                <c:pt idx="118">
                  <c:v>0.42866950067774268</c:v>
                </c:pt>
                <c:pt idx="119">
                  <c:v>0.42862001672622402</c:v>
                </c:pt>
                <c:pt idx="120">
                  <c:v>0.42857214110875896</c:v>
                </c:pt>
                <c:pt idx="121">
                  <c:v>0.42852588840872424</c:v>
                </c:pt>
                <c:pt idx="122">
                  <c:v>0.42848127271514047</c:v>
                </c:pt>
                <c:pt idx="123">
                  <c:v>0.42843830761838003</c:v>
                </c:pt>
                <c:pt idx="124">
                  <c:v>0.42839700620602761</c:v>
                </c:pt>
                <c:pt idx="125">
                  <c:v>0.42835738105889354</c:v>
                </c:pt>
                <c:pt idx="126">
                  <c:v>0.42831944424718149</c:v>
                </c:pt>
                <c:pt idx="127">
                  <c:v>0.42828320732681185</c:v>
                </c:pt>
                <c:pt idx="128">
                  <c:v>0.42824868133590149</c:v>
                </c:pt>
                <c:pt idx="129">
                  <c:v>0.42821587679140183</c:v>
                </c:pt>
                <c:pt idx="130">
                  <c:v>0.42818480368589479</c:v>
                </c:pt>
                <c:pt idx="131">
                  <c:v>0.42815547148454941</c:v>
                </c:pt>
                <c:pt idx="132">
                  <c:v>0.42812788912223831</c:v>
                </c:pt>
                <c:pt idx="133">
                  <c:v>0.42810206500081632</c:v>
                </c:pt>
                <c:pt idx="134">
                  <c:v>0.4280780069865609</c:v>
                </c:pt>
                <c:pt idx="135">
                  <c:v>0.42805572240777628</c:v>
                </c:pt>
                <c:pt idx="136">
                  <c:v>0.42803521805256106</c:v>
                </c:pt>
                <c:pt idx="137">
                  <c:v>0.42801650016674042</c:v>
                </c:pt>
                <c:pt idx="138">
                  <c:v>0.42799957445196379</c:v>
                </c:pt>
                <c:pt idx="139">
                  <c:v>0.42798444606396774</c:v>
                </c:pt>
                <c:pt idx="140">
                  <c:v>0.42797111961100587</c:v>
                </c:pt>
                <c:pt idx="141">
                  <c:v>0.42795959915244486</c:v>
                </c:pt>
                <c:pt idx="142">
                  <c:v>0.42794988819752799</c:v>
                </c:pt>
                <c:pt idx="143">
                  <c:v>0.42794198970430614</c:v>
                </c:pt>
                <c:pt idx="144">
                  <c:v>0.42793590607873694</c:v>
                </c:pt>
                <c:pt idx="145">
                  <c:v>0.42793163917395161</c:v>
                </c:pt>
                <c:pt idx="146">
                  <c:v>0.42792919028969068</c:v>
                </c:pt>
                <c:pt idx="147">
                  <c:v>0.42792856017190806</c:v>
                </c:pt>
                <c:pt idx="148">
                  <c:v>0.42792974901254371</c:v>
                </c:pt>
                <c:pt idx="149">
                  <c:v>0.42793275644946527</c:v>
                </c:pt>
                <c:pt idx="150">
                  <c:v>0.42793758156657835</c:v>
                </c:pt>
                <c:pt idx="151">
                  <c:v>0.42794422289410544</c:v>
                </c:pt>
                <c:pt idx="152">
                  <c:v>0.42795267840903389</c:v>
                </c:pt>
                <c:pt idx="153">
                  <c:v>0.42796294553573194</c:v>
                </c:pt>
                <c:pt idx="154">
                  <c:v>0.42797502114673341</c:v>
                </c:pt>
                <c:pt idx="155">
                  <c:v>0.42798890156369007</c:v>
                </c:pt>
                <c:pt idx="156">
                  <c:v>0.42800458255849255</c:v>
                </c:pt>
                <c:pt idx="157">
                  <c:v>0.42802205935455795</c:v>
                </c:pt>
                <c:pt idx="158">
                  <c:v>0.42804132662828476</c:v>
                </c:pt>
                <c:pt idx="159">
                  <c:v>0.42806237851067491</c:v>
                </c:pt>
                <c:pt idx="160">
                  <c:v>0.42808520858912097</c:v>
                </c:pt>
                <c:pt idx="161">
                  <c:v>0.42810980990935993</c:v>
                </c:pt>
                <c:pt idx="162">
                  <c:v>0.42813617497759138</c:v>
                </c:pt>
                <c:pt idx="163">
                  <c:v>0.42816429576276005</c:v>
                </c:pt>
                <c:pt idx="164">
                  <c:v>0.42819416369900237</c:v>
                </c:pt>
                <c:pt idx="165">
                  <c:v>0.42822576968825571</c:v>
                </c:pt>
                <c:pt idx="166">
                  <c:v>0.42825910410302948</c:v>
                </c:pt>
                <c:pt idx="167">
                  <c:v>0.42829415678933802</c:v>
                </c:pt>
                <c:pt idx="168">
                  <c:v>0.42833091706979359</c:v>
                </c:pt>
                <c:pt idx="169">
                  <c:v>0.42836937374685863</c:v>
                </c:pt>
                <c:pt idx="170">
                  <c:v>0.42840951510625674</c:v>
                </c:pt>
                <c:pt idx="171">
                  <c:v>0.428451328920541</c:v>
                </c:pt>
                <c:pt idx="172">
                  <c:v>0.42849480245281857</c:v>
                </c:pt>
                <c:pt idx="173">
                  <c:v>0.42853992246063027</c:v>
                </c:pt>
                <c:pt idx="174">
                  <c:v>0.42858667519998472</c:v>
                </c:pt>
                <c:pt idx="175">
                  <c:v>0.42863504642954459</c:v>
                </c:pt>
                <c:pt idx="176">
                  <c:v>0.42868502141496478</c:v>
                </c:pt>
                <c:pt idx="177">
                  <c:v>0.42873658493338063</c:v>
                </c:pt>
                <c:pt idx="178">
                  <c:v>0.42878972127804482</c:v>
                </c:pt>
                <c:pt idx="179">
                  <c:v>0.42884441426311215</c:v>
                </c:pt>
                <c:pt idx="180">
                  <c:v>0.42890064722856952</c:v>
                </c:pt>
                <c:pt idx="181">
                  <c:v>0.42895840304531085</c:v>
                </c:pt>
                <c:pt idx="182">
                  <c:v>0.42901766412035491</c:v>
                </c:pt>
                <c:pt idx="183">
                  <c:v>0.42907841240220412</c:v>
                </c:pt>
                <c:pt idx="184">
                  <c:v>0.42914062938634345</c:v>
                </c:pt>
                <c:pt idx="185">
                  <c:v>0.42920429612087674</c:v>
                </c:pt>
                <c:pt idx="186">
                  <c:v>0.4292693932122999</c:v>
                </c:pt>
                <c:pt idx="187">
                  <c:v>0.42933590083140827</c:v>
                </c:pt>
                <c:pt idx="188">
                  <c:v>0.42940379871933687</c:v>
                </c:pt>
                <c:pt idx="189">
                  <c:v>0.42947306619373121</c:v>
                </c:pt>
                <c:pt idx="190">
                  <c:v>0.42954368215504762</c:v>
                </c:pt>
                <c:pt idx="191">
                  <c:v>0.42961562509298018</c:v>
                </c:pt>
                <c:pt idx="192">
                  <c:v>0.42968887309301307</c:v>
                </c:pt>
                <c:pt idx="193">
                  <c:v>0.42976340384309597</c:v>
                </c:pt>
                <c:pt idx="194">
                  <c:v>0.4298391946404404</c:v>
                </c:pt>
                <c:pt idx="195">
                  <c:v>0.42991622239843519</c:v>
                </c:pt>
                <c:pt idx="196">
                  <c:v>0.42999446365367916</c:v>
                </c:pt>
                <c:pt idx="197">
                  <c:v>0.430073894573128</c:v>
                </c:pt>
                <c:pt idx="198">
                  <c:v>0.43015449096135422</c:v>
                </c:pt>
                <c:pt idx="199">
                  <c:v>0.43023622826791713</c:v>
                </c:pt>
                <c:pt idx="200">
                  <c:v>0.43031908159484139</c:v>
                </c:pt>
                <c:pt idx="201">
                  <c:v>0.43040302570420097</c:v>
                </c:pt>
                <c:pt idx="202">
                  <c:v>0.43048803502580707</c:v>
                </c:pt>
                <c:pt idx="203">
                  <c:v>0.43057408366499672</c:v>
                </c:pt>
                <c:pt idx="204">
                  <c:v>0.43066114541052086</c:v>
                </c:pt>
                <c:pt idx="205">
                  <c:v>0.43074919374252846</c:v>
                </c:pt>
                <c:pt idx="206">
                  <c:v>0.43083820184064464</c:v>
                </c:pt>
                <c:pt idx="207">
                  <c:v>0.43092814259214046</c:v>
                </c:pt>
                <c:pt idx="208">
                  <c:v>0.43101898860019178</c:v>
                </c:pt>
                <c:pt idx="209">
                  <c:v>0.43111071219222441</c:v>
                </c:pt>
                <c:pt idx="210">
                  <c:v>0.43120328542834374</c:v>
                </c:pt>
                <c:pt idx="211">
                  <c:v>0.43129668010984529</c:v>
                </c:pt>
                <c:pt idx="212">
                  <c:v>0.43139086778780428</c:v>
                </c:pt>
                <c:pt idx="213">
                  <c:v>0.43148581977174161</c:v>
                </c:pt>
                <c:pt idx="214">
                  <c:v>0.43158150713836319</c:v>
                </c:pt>
                <c:pt idx="215">
                  <c:v>0.43167790074037016</c:v>
                </c:pt>
                <c:pt idx="216">
                  <c:v>0.43177497121533753</c:v>
                </c:pt>
                <c:pt idx="217">
                  <c:v>0.43187268899465836</c:v>
                </c:pt>
                <c:pt idx="218">
                  <c:v>0.43197102431255041</c:v>
                </c:pt>
                <c:pt idx="219">
                  <c:v>0.43206994721512326</c:v>
                </c:pt>
                <c:pt idx="220">
                  <c:v>0.4321694275695025</c:v>
                </c:pt>
                <c:pt idx="221">
                  <c:v>0.43226943507300852</c:v>
                </c:pt>
                <c:pt idx="222">
                  <c:v>0.43236993926238693</c:v>
                </c:pt>
                <c:pt idx="223">
                  <c:v>0.43247090952308803</c:v>
                </c:pt>
                <c:pt idx="224">
                  <c:v>0.43257231509859234</c:v>
                </c:pt>
                <c:pt idx="225">
                  <c:v>0.43267412509977915</c:v>
                </c:pt>
                <c:pt idx="226">
                  <c:v>0.43277630851433591</c:v>
                </c:pt>
                <c:pt idx="227">
                  <c:v>0.43287883421620466</c:v>
                </c:pt>
                <c:pt idx="228">
                  <c:v>0.4329816709750634</c:v>
                </c:pt>
                <c:pt idx="229">
                  <c:v>0.43308478746583917</c:v>
                </c:pt>
                <c:pt idx="230">
                  <c:v>0.43318815227825003</c:v>
                </c:pt>
                <c:pt idx="231">
                  <c:v>0.43329173392637271</c:v>
                </c:pt>
                <c:pt idx="232">
                  <c:v>0.43339550085823386</c:v>
                </c:pt>
                <c:pt idx="233">
                  <c:v>0.43349942146542075</c:v>
                </c:pt>
                <c:pt idx="234">
                  <c:v>0.43360346409270978</c:v>
                </c:pt>
                <c:pt idx="235">
                  <c:v>0.43370759704770878</c:v>
                </c:pt>
                <c:pt idx="236">
                  <c:v>0.4338117886105109</c:v>
                </c:pt>
                <c:pt idx="237">
                  <c:v>0.43391600704335676</c:v>
                </c:pt>
                <c:pt idx="238">
                  <c:v>0.43402022060030221</c:v>
                </c:pt>
                <c:pt idx="239">
                  <c:v>0.43412439753688814</c:v>
                </c:pt>
                <c:pt idx="240">
                  <c:v>0.43422850611981056</c:v>
                </c:pt>
                <c:pt idx="241">
                  <c:v>0.43433251463658662</c:v>
                </c:pt>
                <c:pt idx="242">
                  <c:v>0.43443639140521445</c:v>
                </c:pt>
                <c:pt idx="243">
                  <c:v>0.43454010478382415</c:v>
                </c:pt>
                <c:pt idx="244">
                  <c:v>0.43464362318031585</c:v>
                </c:pt>
                <c:pt idx="245">
                  <c:v>0.43474691506198315</c:v>
                </c:pt>
                <c:pt idx="246">
                  <c:v>0.43484994896511836</c:v>
                </c:pt>
                <c:pt idx="247">
                  <c:v>0.43495269350459648</c:v>
                </c:pt>
                <c:pt idx="248">
                  <c:v>0.43505511738343533</c:v>
                </c:pt>
                <c:pt idx="249">
                  <c:v>0.43515718940232939</c:v>
                </c:pt>
                <c:pt idx="250">
                  <c:v>0.43525887846915279</c:v>
                </c:pt>
                <c:pt idx="251">
                  <c:v>0.43536015360843078</c:v>
                </c:pt>
                <c:pt idx="252">
                  <c:v>0.43546098397077476</c:v>
                </c:pt>
                <c:pt idx="253">
                  <c:v>0.43556133884227966</c:v>
                </c:pt>
                <c:pt idx="254">
                  <c:v>0.43566118765387946</c:v>
                </c:pt>
                <c:pt idx="255">
                  <c:v>0.43576049999065891</c:v>
                </c:pt>
                <c:pt idx="256">
                  <c:v>0.43585924560111811</c:v>
                </c:pt>
                <c:pt idx="257">
                  <c:v>0.43595739440638759</c:v>
                </c:pt>
                <c:pt idx="258">
                  <c:v>0.43605491650939043</c:v>
                </c:pt>
                <c:pt idx="259">
                  <c:v>0.4361517822039494</c:v>
                </c:pt>
                <c:pt idx="260">
                  <c:v>0.43624796198383547</c:v>
                </c:pt>
                <c:pt idx="261">
                  <c:v>0.43634342655175612</c:v>
                </c:pt>
                <c:pt idx="262">
                  <c:v>0.43643814682827908</c:v>
                </c:pt>
                <c:pt idx="263">
                  <c:v>0.43653209396069054</c:v>
                </c:pt>
                <c:pt idx="264">
                  <c:v>0.43662523933178393</c:v>
                </c:pt>
                <c:pt idx="265">
                  <c:v>0.43671755456857692</c:v>
                </c:pt>
                <c:pt idx="266">
                  <c:v>0.43680901155095397</c:v>
                </c:pt>
                <c:pt idx="267">
                  <c:v>0.43689958242023241</c:v>
                </c:pt>
                <c:pt idx="268">
                  <c:v>0.43698923958764807</c:v>
                </c:pt>
                <c:pt idx="269">
                  <c:v>0.43707795574275915</c:v>
                </c:pt>
                <c:pt idx="270">
                  <c:v>0.43716570386176545</c:v>
                </c:pt>
                <c:pt idx="271">
                  <c:v>0.43725245721573985</c:v>
                </c:pt>
                <c:pt idx="272">
                  <c:v>0.43733818937877039</c:v>
                </c:pt>
                <c:pt idx="273">
                  <c:v>0.43742287423600967</c:v>
                </c:pt>
                <c:pt idx="274">
                  <c:v>0.43750648599162978</c:v>
                </c:pt>
                <c:pt idx="275">
                  <c:v>0.43758899917668009</c:v>
                </c:pt>
                <c:pt idx="276">
                  <c:v>0.43767038865684499</c:v>
                </c:pt>
                <c:pt idx="277">
                  <c:v>0.43775062964010042</c:v>
                </c:pt>
                <c:pt idx="278">
                  <c:v>0.43782969768426566</c:v>
                </c:pt>
                <c:pt idx="279">
                  <c:v>0.43790756870444836</c:v>
                </c:pt>
                <c:pt idx="280">
                  <c:v>0.43798421898038153</c:v>
                </c:pt>
                <c:pt idx="281">
                  <c:v>0.4380596251636486</c:v>
                </c:pt>
                <c:pt idx="282">
                  <c:v>0.43813376428479556</c:v>
                </c:pt>
                <c:pt idx="283">
                  <c:v>0.43820661376032799</c:v>
                </c:pt>
                <c:pt idx="284">
                  <c:v>0.43827815139958998</c:v>
                </c:pt>
                <c:pt idx="285">
                  <c:v>0.4383483554115235</c:v>
                </c:pt>
                <c:pt idx="286">
                  <c:v>0.43841720441130649</c:v>
                </c:pt>
                <c:pt idx="287">
                  <c:v>0.43848467742686664</c:v>
                </c:pt>
                <c:pt idx="288">
                  <c:v>0.43855075390526982</c:v>
                </c:pt>
                <c:pt idx="289">
                  <c:v>0.43861541371898055</c:v>
                </c:pt>
                <c:pt idx="290">
                  <c:v>0.43867863717199329</c:v>
                </c:pt>
                <c:pt idx="291">
                  <c:v>0.43874040500583172</c:v>
                </c:pt>
                <c:pt idx="292">
                  <c:v>0.4388006984054153</c:v>
                </c:pt>
                <c:pt idx="293">
                  <c:v>0.43885949900479049</c:v>
                </c:pt>
                <c:pt idx="294">
                  <c:v>0.43891678889272506</c:v>
                </c:pt>
                <c:pt idx="295">
                  <c:v>0.4389725506181642</c:v>
                </c:pt>
                <c:pt idx="296">
                  <c:v>0.43902676719554612</c:v>
                </c:pt>
                <c:pt idx="297">
                  <c:v>0.43907942210997619</c:v>
                </c:pt>
                <c:pt idx="298">
                  <c:v>0.43913049932225734</c:v>
                </c:pt>
                <c:pt idx="299">
                  <c:v>0.439179983273776</c:v>
                </c:pt>
                <c:pt idx="300">
                  <c:v>0.43922785889124111</c:v>
                </c:pt>
                <c:pt idx="301">
                  <c:v>0.43927411159127577</c:v>
                </c:pt>
                <c:pt idx="302">
                  <c:v>0.43931872728485954</c:v>
                </c:pt>
                <c:pt idx="303">
                  <c:v>0.43936169238161998</c:v>
                </c:pt>
                <c:pt idx="304">
                  <c:v>0.43940299379397241</c:v>
                </c:pt>
                <c:pt idx="305">
                  <c:v>0.43944261894110648</c:v>
                </c:pt>
                <c:pt idx="306">
                  <c:v>0.43948055575281852</c:v>
                </c:pt>
                <c:pt idx="307">
                  <c:v>0.43951679267318816</c:v>
                </c:pt>
                <c:pt idx="308">
                  <c:v>0.43955131866409852</c:v>
                </c:pt>
                <c:pt idx="309">
                  <c:v>0.43958412320859819</c:v>
                </c:pt>
                <c:pt idx="310">
                  <c:v>0.43961519631410523</c:v>
                </c:pt>
                <c:pt idx="311">
                  <c:v>0.43964452851545061</c:v>
                </c:pt>
                <c:pt idx="312">
                  <c:v>0.4396721108777617</c:v>
                </c:pt>
                <c:pt idx="313">
                  <c:v>0.43969793499918369</c:v>
                </c:pt>
                <c:pt idx="314">
                  <c:v>0.43972199301343912</c:v>
                </c:pt>
                <c:pt idx="315">
                  <c:v>0.43974427759222373</c:v>
                </c:pt>
                <c:pt idx="316">
                  <c:v>0.43976478194743895</c:v>
                </c:pt>
                <c:pt idx="317">
                  <c:v>0.43978349983325959</c:v>
                </c:pt>
                <c:pt idx="318">
                  <c:v>0.43980042554803622</c:v>
                </c:pt>
                <c:pt idx="319">
                  <c:v>0.43981555393603228</c:v>
                </c:pt>
                <c:pt idx="320">
                  <c:v>0.43982888038899415</c:v>
                </c:pt>
                <c:pt idx="321">
                  <c:v>0.43984040084755516</c:v>
                </c:pt>
                <c:pt idx="322">
                  <c:v>0.43985011180247202</c:v>
                </c:pt>
                <c:pt idx="323">
                  <c:v>0.43985801029569388</c:v>
                </c:pt>
                <c:pt idx="324">
                  <c:v>0.43986409392126308</c:v>
                </c:pt>
                <c:pt idx="325">
                  <c:v>0.43986836082604841</c:v>
                </c:pt>
                <c:pt idx="326">
                  <c:v>0.43987080971030934</c:v>
                </c:pt>
                <c:pt idx="327">
                  <c:v>0.43987143982809196</c:v>
                </c:pt>
                <c:pt idx="328">
                  <c:v>0.4398702509874563</c:v>
                </c:pt>
                <c:pt idx="329">
                  <c:v>0.43986724355053475</c:v>
                </c:pt>
                <c:pt idx="330">
                  <c:v>0.43986241843342166</c:v>
                </c:pt>
                <c:pt idx="331">
                  <c:v>0.43985577710589457</c:v>
                </c:pt>
                <c:pt idx="332">
                  <c:v>0.43984732159096612</c:v>
                </c:pt>
                <c:pt idx="333">
                  <c:v>0.43983705446426807</c:v>
                </c:pt>
                <c:pt idx="334">
                  <c:v>0.4398249788532666</c:v>
                </c:pt>
                <c:pt idx="335">
                  <c:v>0.43981109843630994</c:v>
                </c:pt>
                <c:pt idx="336">
                  <c:v>0.43979541744150746</c:v>
                </c:pt>
                <c:pt idx="337">
                  <c:v>0.43977794064544207</c:v>
                </c:pt>
                <c:pt idx="338">
                  <c:v>0.43975867337171526</c:v>
                </c:pt>
                <c:pt idx="339">
                  <c:v>0.4397376214893251</c:v>
                </c:pt>
                <c:pt idx="340">
                  <c:v>0.43971479141087905</c:v>
                </c:pt>
                <c:pt idx="341">
                  <c:v>0.43969019009064009</c:v>
                </c:pt>
                <c:pt idx="342">
                  <c:v>0.43966382502240864</c:v>
                </c:pt>
                <c:pt idx="343">
                  <c:v>0.43963570423723997</c:v>
                </c:pt>
                <c:pt idx="344">
                  <c:v>0.43960583630099764</c:v>
                </c:pt>
                <c:pt idx="345">
                  <c:v>0.43957423031174431</c:v>
                </c:pt>
                <c:pt idx="346">
                  <c:v>0.43954089589697054</c:v>
                </c:pt>
                <c:pt idx="347">
                  <c:v>0.439505843210662</c:v>
                </c:pt>
                <c:pt idx="348">
                  <c:v>0.43946908293020642</c:v>
                </c:pt>
                <c:pt idx="349">
                  <c:v>0.43943062625314139</c:v>
                </c:pt>
                <c:pt idx="350">
                  <c:v>0.43939048489374327</c:v>
                </c:pt>
                <c:pt idx="351">
                  <c:v>0.43934867107945902</c:v>
                </c:pt>
                <c:pt idx="352">
                  <c:v>0.43930519754718145</c:v>
                </c:pt>
                <c:pt idx="353">
                  <c:v>0.43926007753936974</c:v>
                </c:pt>
                <c:pt idx="354">
                  <c:v>0.43921332480001529</c:v>
                </c:pt>
                <c:pt idx="355">
                  <c:v>0.43916495357045543</c:v>
                </c:pt>
                <c:pt idx="356">
                  <c:v>0.43911497858503523</c:v>
                </c:pt>
                <c:pt idx="357">
                  <c:v>0.43906341506661944</c:v>
                </c:pt>
                <c:pt idx="358">
                  <c:v>0.43901027872195519</c:v>
                </c:pt>
                <c:pt idx="359">
                  <c:v>0.43895558573688787</c:v>
                </c:pt>
                <c:pt idx="360">
                  <c:v>0.4388993527714305</c:v>
                </c:pt>
              </c:numCache>
            </c:numRef>
          </c:xVal>
          <c:yVal>
            <c:numRef>
              <c:f>IF特性!$K$95:$K$455</c:f>
              <c:numCache>
                <c:formatCode>General</c:formatCode>
                <c:ptCount val="361"/>
                <c:pt idx="0">
                  <c:v>0.40987548289390291</c:v>
                </c:pt>
                <c:pt idx="1">
                  <c:v>0.40991714999905959</c:v>
                </c:pt>
                <c:pt idx="2">
                  <c:v>0.40995677099525607</c:v>
                </c:pt>
                <c:pt idx="3">
                  <c:v>0.40999433381355305</c:v>
                </c:pt>
                <c:pt idx="4">
                  <c:v>0.41002982701195229</c:v>
                </c:pt>
                <c:pt idx="5">
                  <c:v>0.41006323977888165</c:v>
                </c:pt>
                <c:pt idx="6">
                  <c:v>0.41009456193648863</c:v>
                </c:pt>
                <c:pt idx="7">
                  <c:v>0.41012378394374072</c:v>
                </c:pt>
                <c:pt idx="8">
                  <c:v>0.41015089689933126</c:v>
                </c:pt>
                <c:pt idx="9">
                  <c:v>0.41017589254439146</c:v>
                </c:pt>
                <c:pt idx="10">
                  <c:v>0.41019876326500559</c:v>
                </c:pt>
                <c:pt idx="11">
                  <c:v>0.41021950209453073</c:v>
                </c:pt>
                <c:pt idx="12">
                  <c:v>0.41023810271571842</c:v>
                </c:pt>
                <c:pt idx="13">
                  <c:v>0.41025455946263922</c:v>
                </c:pt>
                <c:pt idx="14">
                  <c:v>0.41026886732240869</c:v>
                </c:pt>
                <c:pt idx="15">
                  <c:v>0.41028102193671412</c:v>
                </c:pt>
                <c:pt idx="16">
                  <c:v>0.41029101960314218</c:v>
                </c:pt>
                <c:pt idx="17">
                  <c:v>0.41029885727630688</c:v>
                </c:pt>
                <c:pt idx="18">
                  <c:v>0.41030453256877708</c:v>
                </c:pt>
                <c:pt idx="19">
                  <c:v>0.41030804375180363</c:v>
                </c:pt>
                <c:pt idx="20">
                  <c:v>0.41030938975584624</c:v>
                </c:pt>
                <c:pt idx="21">
                  <c:v>0.410308570170899</c:v>
                </c:pt>
                <c:pt idx="22">
                  <c:v>0.41030558524661548</c:v>
                </c:pt>
                <c:pt idx="23">
                  <c:v>0.41030043589223247</c:v>
                </c:pt>
                <c:pt idx="24">
                  <c:v>0.41029312367629317</c:v>
                </c:pt>
                <c:pt idx="25">
                  <c:v>0.41028365082616952</c:v>
                </c:pt>
                <c:pt idx="26">
                  <c:v>0.41027202022738329</c:v>
                </c:pt>
                <c:pt idx="27">
                  <c:v>0.4102582354227276</c:v>
                </c:pt>
                <c:pt idx="28">
                  <c:v>0.41024230061118755</c:v>
                </c:pt>
                <c:pt idx="29">
                  <c:v>0.41022422064666098</c:v>
                </c:pt>
                <c:pt idx="30">
                  <c:v>0.4102040010364803</c:v>
                </c:pt>
                <c:pt idx="31">
                  <c:v>0.41018164793973461</c:v>
                </c:pt>
                <c:pt idx="32">
                  <c:v>0.41015716816539377</c:v>
                </c:pt>
                <c:pt idx="33">
                  <c:v>0.4101305691702341</c:v>
                </c:pt>
                <c:pt idx="34">
                  <c:v>0.41010185905656726</c:v>
                </c:pt>
                <c:pt idx="35">
                  <c:v>0.410071046569772</c:v>
                </c:pt>
                <c:pt idx="36">
                  <c:v>0.41003814109563025</c:v>
                </c:pt>
                <c:pt idx="37">
                  <c:v>0.41000315265746823</c:v>
                </c:pt>
                <c:pt idx="38">
                  <c:v>0.40996609191310313</c:v>
                </c:pt>
                <c:pt idx="39">
                  <c:v>0.40992697015159668</c:v>
                </c:pt>
                <c:pt idx="40">
                  <c:v>0.40988579928981639</c:v>
                </c:pt>
                <c:pt idx="41">
                  <c:v>0.40984259186880567</c:v>
                </c:pt>
                <c:pt idx="42">
                  <c:v>0.4097973610499635</c:v>
                </c:pt>
                <c:pt idx="43">
                  <c:v>0.40975012061103538</c:v>
                </c:pt>
                <c:pt idx="44">
                  <c:v>0.40970088494191675</c:v>
                </c:pt>
                <c:pt idx="45">
                  <c:v>0.40964966904026934</c:v>
                </c:pt>
                <c:pt idx="46">
                  <c:v>0.40959648850695285</c:v>
                </c:pt>
                <c:pt idx="47">
                  <c:v>0.40954135954127302</c:v>
                </c:pt>
                <c:pt idx="48">
                  <c:v>0.40948429893604676</c:v>
                </c:pt>
                <c:pt idx="49">
                  <c:v>0.40942532407248722</c:v>
                </c:pt>
                <c:pt idx="50">
                  <c:v>0.40936445291490914</c:v>
                </c:pt>
                <c:pt idx="51">
                  <c:v>0.40930170400525678</c:v>
                </c:pt>
                <c:pt idx="52">
                  <c:v>0.40923709645745587</c:v>
                </c:pt>
                <c:pt idx="53">
                  <c:v>0.40917064995159136</c:v>
                </c:pt>
                <c:pt idx="54">
                  <c:v>0.4091023847279126</c:v>
                </c:pt>
                <c:pt idx="55">
                  <c:v>0.40903232158066805</c:v>
                </c:pt>
                <c:pt idx="56">
                  <c:v>0.40896048185177108</c:v>
                </c:pt>
                <c:pt idx="57">
                  <c:v>0.40888688742429896</c:v>
                </c:pt>
                <c:pt idx="58">
                  <c:v>0.40881156071582736</c:v>
                </c:pt>
                <c:pt idx="59">
                  <c:v>0.40873452467160126</c:v>
                </c:pt>
                <c:pt idx="60">
                  <c:v>0.40865580275754604</c:v>
                </c:pt>
                <c:pt idx="61">
                  <c:v>0.40857541895311933</c:v>
                </c:pt>
                <c:pt idx="62">
                  <c:v>0.40849339774400667</c:v>
                </c:pt>
                <c:pt idx="63">
                  <c:v>0.4084097641146629</c:v>
                </c:pt>
                <c:pt idx="64">
                  <c:v>0.40832454354070163</c:v>
                </c:pt>
                <c:pt idx="65">
                  <c:v>0.40823776198113532</c:v>
                </c:pt>
                <c:pt idx="66">
                  <c:v>0.4081494458704677</c:v>
                </c:pt>
                <c:pt idx="67">
                  <c:v>0.40805962211064151</c:v>
                </c:pt>
                <c:pt idx="68">
                  <c:v>0.40796831806284423</c:v>
                </c:pt>
                <c:pt idx="69">
                  <c:v>0.40787556153917326</c:v>
                </c:pt>
                <c:pt idx="70">
                  <c:v>0.40778138079416432</c:v>
                </c:pt>
                <c:pt idx="71">
                  <c:v>0.40768580451618464</c:v>
                </c:pt>
                <c:pt idx="72">
                  <c:v>0.4075888618186943</c:v>
                </c:pt>
                <c:pt idx="73">
                  <c:v>0.40749058223137818</c:v>
                </c:pt>
                <c:pt idx="74">
                  <c:v>0.40739099569115056</c:v>
                </c:pt>
                <c:pt idx="75">
                  <c:v>0.40729013253303636</c:v>
                </c:pt>
                <c:pt idx="76">
                  <c:v>0.40718802348093058</c:v>
                </c:pt>
                <c:pt idx="77">
                  <c:v>0.40708469963823962</c:v>
                </c:pt>
                <c:pt idx="78">
                  <c:v>0.406980192478407</c:v>
                </c:pt>
                <c:pt idx="79">
                  <c:v>0.40687453383532585</c:v>
                </c:pt>
                <c:pt idx="80">
                  <c:v>0.40676775589364245</c:v>
                </c:pt>
                <c:pt idx="81">
                  <c:v>0.40665989117895224</c:v>
                </c:pt>
                <c:pt idx="82">
                  <c:v>0.40655097254789219</c:v>
                </c:pt>
                <c:pt idx="83">
                  <c:v>0.40644103317813246</c:v>
                </c:pt>
                <c:pt idx="84">
                  <c:v>0.40633010655827007</c:v>
                </c:pt>
                <c:pt idx="85">
                  <c:v>0.40621822647762801</c:v>
                </c:pt>
                <c:pt idx="86">
                  <c:v>0.40610542701596264</c:v>
                </c:pt>
                <c:pt idx="87">
                  <c:v>0.40599174253308273</c:v>
                </c:pt>
                <c:pt idx="88">
                  <c:v>0.40587720765838303</c:v>
                </c:pt>
                <c:pt idx="89">
                  <c:v>0.40576185728029585</c:v>
                </c:pt>
                <c:pt idx="90">
                  <c:v>0.40564572653566383</c:v>
                </c:pt>
                <c:pt idx="91">
                  <c:v>0.40552885079903678</c:v>
                </c:pt>
                <c:pt idx="92">
                  <c:v>0.40541126567189628</c:v>
                </c:pt>
                <c:pt idx="93">
                  <c:v>0.40529300697181109</c:v>
                </c:pt>
                <c:pt idx="94">
                  <c:v>0.40517411072152687</c:v>
                </c:pt>
                <c:pt idx="95">
                  <c:v>0.40505461313799324</c:v>
                </c:pt>
                <c:pt idx="96">
                  <c:v>0.40493455062133171</c:v>
                </c:pt>
                <c:pt idx="97">
                  <c:v>0.40481395974374795</c:v>
                </c:pt>
                <c:pt idx="98">
                  <c:v>0.40469287723839154</c:v>
                </c:pt>
                <c:pt idx="99">
                  <c:v>0.40457133998816641</c:v>
                </c:pt>
                <c:pt idx="100">
                  <c:v>0.40444938501449645</c:v>
                </c:pt>
                <c:pt idx="101">
                  <c:v>0.40432704946604797</c:v>
                </c:pt>
                <c:pt idx="102">
                  <c:v>0.40420437060741421</c:v>
                </c:pt>
                <c:pt idx="103">
                  <c:v>0.40408138580776387</c:v>
                </c:pt>
                <c:pt idx="104">
                  <c:v>0.40395813252945828</c:v>
                </c:pt>
                <c:pt idx="105">
                  <c:v>0.40383464831664007</c:v>
                </c:pt>
                <c:pt idx="106">
                  <c:v>0.40371097078379659</c:v>
                </c:pt>
                <c:pt idx="107">
                  <c:v>0.40358713760430248</c:v>
                </c:pt>
                <c:pt idx="108">
                  <c:v>0.4034631864989438</c:v>
                </c:pt>
                <c:pt idx="109">
                  <c:v>0.40333915522442804</c:v>
                </c:pt>
                <c:pt idx="110">
                  <c:v>0.4032150815618829</c:v>
                </c:pt>
                <c:pt idx="111">
                  <c:v>0.40309100330534786</c:v>
                </c:pt>
                <c:pt idx="112">
                  <c:v>0.40296695825026191</c:v>
                </c:pt>
                <c:pt idx="113">
                  <c:v>0.40284298418195047</c:v>
                </c:pt>
                <c:pt idx="114">
                  <c:v>0.40271911886411571</c:v>
                </c:pt>
                <c:pt idx="115">
                  <c:v>0.40259540002733329</c:v>
                </c:pt>
                <c:pt idx="116">
                  <c:v>0.40247186535755947</c:v>
                </c:pt>
                <c:pt idx="117">
                  <c:v>0.40234855248465135</c:v>
                </c:pt>
                <c:pt idx="118">
                  <c:v>0.40222549897090454</c:v>
                </c:pt>
                <c:pt idx="119">
                  <c:v>0.4021027422996114</c:v>
                </c:pt>
                <c:pt idx="120">
                  <c:v>0.40198031986364319</c:v>
                </c:pt>
                <c:pt idx="121">
                  <c:v>0.40185826895405979</c:v>
                </c:pt>
                <c:pt idx="122">
                  <c:v>0.4017366267487506</c:v>
                </c:pt>
                <c:pt idx="123">
                  <c:v>0.4016154303011098</c:v>
                </c:pt>
                <c:pt idx="124">
                  <c:v>0.40149471652874935</c:v>
                </c:pt>
                <c:pt idx="125">
                  <c:v>0.40137452220225367</c:v>
                </c:pt>
                <c:pt idx="126">
                  <c:v>0.40125488393397901</c:v>
                </c:pt>
                <c:pt idx="127">
                  <c:v>0.40113583816690085</c:v>
                </c:pt>
                <c:pt idx="128">
                  <c:v>0.40101742116351297</c:v>
                </c:pt>
                <c:pt idx="129">
                  <c:v>0.40089966899478185</c:v>
                </c:pt>
                <c:pt idx="130">
                  <c:v>0.40078261752915872</c:v>
                </c:pt>
                <c:pt idx="131">
                  <c:v>0.40066630242165391</c:v>
                </c:pt>
                <c:pt idx="132">
                  <c:v>0.40055075910297594</c:v>
                </c:pt>
                <c:pt idx="133">
                  <c:v>0.40043602276873896</c:v>
                </c:pt>
                <c:pt idx="134">
                  <c:v>0.40032212836874187</c:v>
                </c:pt>
                <c:pt idx="135">
                  <c:v>0.40020911059632225</c:v>
                </c:pt>
                <c:pt idx="136">
                  <c:v>0.4000970038777884</c:v>
                </c:pt>
                <c:pt idx="137">
                  <c:v>0.39998584236193274</c:v>
                </c:pt>
                <c:pt idx="138">
                  <c:v>0.39987565990962992</c:v>
                </c:pt>
                <c:pt idx="139">
                  <c:v>0.39976649008352222</c:v>
                </c:pt>
                <c:pt idx="140">
                  <c:v>0.39965836613779621</c:v>
                </c:pt>
                <c:pt idx="141">
                  <c:v>0.39955132100805324</c:v>
                </c:pt>
                <c:pt idx="142">
                  <c:v>0.39944538730127671</c:v>
                </c:pt>
                <c:pt idx="143">
                  <c:v>0.39934059728589999</c:v>
                </c:pt>
                <c:pt idx="144">
                  <c:v>0.3992369828819769</c:v>
                </c:pt>
                <c:pt idx="145">
                  <c:v>0.39913457565145849</c:v>
                </c:pt>
                <c:pt idx="146">
                  <c:v>0.39903340678857935</c:v>
                </c:pt>
                <c:pt idx="147">
                  <c:v>0.39893350711035513</c:v>
                </c:pt>
                <c:pt idx="148">
                  <c:v>0.39883490704719549</c:v>
                </c:pt>
                <c:pt idx="149">
                  <c:v>0.39873763663363487</c:v>
                </c:pt>
                <c:pt idx="150">
                  <c:v>0.39864172549918359</c:v>
                </c:pt>
                <c:pt idx="151">
                  <c:v>0.39854720285930217</c:v>
                </c:pt>
                <c:pt idx="152">
                  <c:v>0.39845409750650251</c:v>
                </c:pt>
                <c:pt idx="153">
                  <c:v>0.39836243780157699</c:v>
                </c:pt>
                <c:pt idx="154">
                  <c:v>0.39827225166495961</c:v>
                </c:pt>
                <c:pt idx="155">
                  <c:v>0.39818356656822124</c:v>
                </c:pt>
                <c:pt idx="156">
                  <c:v>0.39809640952570147</c:v>
                </c:pt>
                <c:pt idx="157">
                  <c:v>0.39801080708627973</c:v>
                </c:pt>
                <c:pt idx="158">
                  <c:v>0.39792678532528841</c:v>
                </c:pt>
                <c:pt idx="159">
                  <c:v>0.39784436983656973</c:v>
                </c:pt>
                <c:pt idx="160">
                  <c:v>0.39776358572468001</c:v>
                </c:pt>
                <c:pt idx="161">
                  <c:v>0.3976844575972423</c:v>
                </c:pt>
                <c:pt idx="162">
                  <c:v>0.39760700955745071</c:v>
                </c:pt>
                <c:pt idx="163">
                  <c:v>0.39753126519672843</c:v>
                </c:pt>
                <c:pt idx="164">
                  <c:v>0.39745724758754153</c:v>
                </c:pt>
                <c:pt idx="165">
                  <c:v>0.39738497927637073</c:v>
                </c:pt>
                <c:pt idx="166">
                  <c:v>0.39731448227684374</c:v>
                </c:pt>
                <c:pt idx="167">
                  <c:v>0.39724577806302946</c:v>
                </c:pt>
                <c:pt idx="168">
                  <c:v>0.39717888756289704</c:v>
                </c:pt>
                <c:pt idx="169">
                  <c:v>0.39711383115194082</c:v>
                </c:pt>
                <c:pt idx="170">
                  <c:v>0.39705062864697377</c:v>
                </c:pt>
                <c:pt idx="171">
                  <c:v>0.39698929930009108</c:v>
                </c:pt>
                <c:pt idx="172">
                  <c:v>0.39692986179280604</c:v>
                </c:pt>
                <c:pt idx="173">
                  <c:v>0.39687233423035911</c:v>
                </c:pt>
                <c:pt idx="174">
                  <c:v>0.39681673413620311</c:v>
                </c:pt>
                <c:pt idx="175">
                  <c:v>0.39676307844666525</c:v>
                </c:pt>
                <c:pt idx="176">
                  <c:v>0.39671138350578838</c:v>
                </c:pt>
                <c:pt idx="177">
                  <c:v>0.39666166506035233</c:v>
                </c:pt>
                <c:pt idx="178">
                  <c:v>0.39661393825507718</c:v>
                </c:pt>
                <c:pt idx="179">
                  <c:v>0.39656821762801014</c:v>
                </c:pt>
                <c:pt idx="180">
                  <c:v>0.3965245171060971</c:v>
                </c:pt>
                <c:pt idx="181">
                  <c:v>0.39648285000094041</c:v>
                </c:pt>
                <c:pt idx="182">
                  <c:v>0.39644322900474394</c:v>
                </c:pt>
                <c:pt idx="183">
                  <c:v>0.39640566618644696</c:v>
                </c:pt>
                <c:pt idx="184">
                  <c:v>0.39637017298804772</c:v>
                </c:pt>
                <c:pt idx="185">
                  <c:v>0.39633676022111836</c:v>
                </c:pt>
                <c:pt idx="186">
                  <c:v>0.39630543806351137</c:v>
                </c:pt>
                <c:pt idx="187">
                  <c:v>0.39627621605625934</c:v>
                </c:pt>
                <c:pt idx="188">
                  <c:v>0.39624910310066874</c:v>
                </c:pt>
                <c:pt idx="189">
                  <c:v>0.39622410745560854</c:v>
                </c:pt>
                <c:pt idx="190">
                  <c:v>0.39620123673499441</c:v>
                </c:pt>
                <c:pt idx="191">
                  <c:v>0.39618049790546928</c:v>
                </c:pt>
                <c:pt idx="192">
                  <c:v>0.39616189728428158</c:v>
                </c:pt>
                <c:pt idx="193">
                  <c:v>0.39614544053736078</c:v>
                </c:pt>
                <c:pt idx="194">
                  <c:v>0.39613113267759131</c:v>
                </c:pt>
                <c:pt idx="195">
                  <c:v>0.39611897806328589</c:v>
                </c:pt>
                <c:pt idx="196">
                  <c:v>0.39610898039685782</c:v>
                </c:pt>
                <c:pt idx="197">
                  <c:v>0.39610114272369312</c:v>
                </c:pt>
                <c:pt idx="198">
                  <c:v>0.39609546743122293</c:v>
                </c:pt>
                <c:pt idx="199">
                  <c:v>0.39609195624819638</c:v>
                </c:pt>
                <c:pt idx="200">
                  <c:v>0.39609061024415376</c:v>
                </c:pt>
                <c:pt idx="201">
                  <c:v>0.396091429829101</c:v>
                </c:pt>
                <c:pt idx="202">
                  <c:v>0.39609441475338453</c:v>
                </c:pt>
                <c:pt idx="203">
                  <c:v>0.39609956410776753</c:v>
                </c:pt>
                <c:pt idx="204">
                  <c:v>0.39610687632370684</c:v>
                </c:pt>
                <c:pt idx="205">
                  <c:v>0.39611634917383048</c:v>
                </c:pt>
                <c:pt idx="206">
                  <c:v>0.39612797977261671</c:v>
                </c:pt>
                <c:pt idx="207">
                  <c:v>0.3961417645772724</c:v>
                </c:pt>
                <c:pt idx="208">
                  <c:v>0.39615769938881246</c:v>
                </c:pt>
                <c:pt idx="209">
                  <c:v>0.39617577935333903</c:v>
                </c:pt>
                <c:pt idx="210">
                  <c:v>0.3961959989635197</c:v>
                </c:pt>
                <c:pt idx="211">
                  <c:v>0.3962183520602654</c:v>
                </c:pt>
                <c:pt idx="212">
                  <c:v>0.39624283183460624</c:v>
                </c:pt>
                <c:pt idx="213">
                  <c:v>0.3962694308297659</c:v>
                </c:pt>
                <c:pt idx="214">
                  <c:v>0.39629814094343274</c:v>
                </c:pt>
                <c:pt idx="215">
                  <c:v>0.396328953430228</c:v>
                </c:pt>
                <c:pt idx="216">
                  <c:v>0.39636185890436976</c:v>
                </c:pt>
                <c:pt idx="217">
                  <c:v>0.39639684734253178</c:v>
                </c:pt>
                <c:pt idx="218">
                  <c:v>0.39643390808689688</c:v>
                </c:pt>
                <c:pt idx="219">
                  <c:v>0.39647302984840332</c:v>
                </c:pt>
                <c:pt idx="220">
                  <c:v>0.39651420071018362</c:v>
                </c:pt>
                <c:pt idx="221">
                  <c:v>0.39655740813119433</c:v>
                </c:pt>
                <c:pt idx="222">
                  <c:v>0.3966026389500365</c:v>
                </c:pt>
                <c:pt idx="223">
                  <c:v>0.39664987938896457</c:v>
                </c:pt>
                <c:pt idx="224">
                  <c:v>0.39669911505808325</c:v>
                </c:pt>
                <c:pt idx="225">
                  <c:v>0.39675033095973067</c:v>
                </c:pt>
                <c:pt idx="226">
                  <c:v>0.39680351149304716</c:v>
                </c:pt>
                <c:pt idx="227">
                  <c:v>0.39685864045872699</c:v>
                </c:pt>
                <c:pt idx="228">
                  <c:v>0.39691570106395324</c:v>
                </c:pt>
                <c:pt idx="229">
                  <c:v>0.39697467592751279</c:v>
                </c:pt>
                <c:pt idx="230">
                  <c:v>0.39703554708509087</c:v>
                </c:pt>
                <c:pt idx="231">
                  <c:v>0.39709829599474322</c:v>
                </c:pt>
                <c:pt idx="232">
                  <c:v>0.39716290354254413</c:v>
                </c:pt>
                <c:pt idx="233">
                  <c:v>0.39722935004840865</c:v>
                </c:pt>
                <c:pt idx="234">
                  <c:v>0.3972976152720874</c:v>
                </c:pt>
                <c:pt idx="235">
                  <c:v>0.39736767841933196</c:v>
                </c:pt>
                <c:pt idx="236">
                  <c:v>0.39743951814822892</c:v>
                </c:pt>
                <c:pt idx="237">
                  <c:v>0.39751311257570104</c:v>
                </c:pt>
                <c:pt idx="238">
                  <c:v>0.39758843928417265</c:v>
                </c:pt>
                <c:pt idx="239">
                  <c:v>0.39766547532839874</c:v>
                </c:pt>
                <c:pt idx="240">
                  <c:v>0.39774419724245397</c:v>
                </c:pt>
                <c:pt idx="241">
                  <c:v>0.39782458104688068</c:v>
                </c:pt>
                <c:pt idx="242">
                  <c:v>0.39790660225599334</c:v>
                </c:pt>
                <c:pt idx="243">
                  <c:v>0.39799023588533711</c:v>
                </c:pt>
                <c:pt idx="244">
                  <c:v>0.39807545645929837</c:v>
                </c:pt>
                <c:pt idx="245">
                  <c:v>0.39816223801886469</c:v>
                </c:pt>
                <c:pt idx="246">
                  <c:v>0.39825055412953231</c:v>
                </c:pt>
                <c:pt idx="247">
                  <c:v>0.3983403778893585</c:v>
                </c:pt>
                <c:pt idx="248">
                  <c:v>0.39843168193715578</c:v>
                </c:pt>
                <c:pt idx="249">
                  <c:v>0.39852443846082669</c:v>
                </c:pt>
                <c:pt idx="250">
                  <c:v>0.39861861920583569</c:v>
                </c:pt>
                <c:pt idx="251">
                  <c:v>0.39871419548381537</c:v>
                </c:pt>
                <c:pt idx="252">
                  <c:v>0.3988111381813057</c:v>
                </c:pt>
                <c:pt idx="253">
                  <c:v>0.39890941776862182</c:v>
                </c:pt>
                <c:pt idx="254">
                  <c:v>0.39900900430884945</c:v>
                </c:pt>
                <c:pt idx="255">
                  <c:v>0.39910986746696364</c:v>
                </c:pt>
                <c:pt idx="256">
                  <c:v>0.39921197651906942</c:v>
                </c:pt>
                <c:pt idx="257">
                  <c:v>0.39931530036176038</c:v>
                </c:pt>
                <c:pt idx="258">
                  <c:v>0.39941980752159301</c:v>
                </c:pt>
                <c:pt idx="259">
                  <c:v>0.39952546616467416</c:v>
                </c:pt>
                <c:pt idx="260">
                  <c:v>0.39963224410635756</c:v>
                </c:pt>
                <c:pt idx="261">
                  <c:v>0.39974010882104777</c:v>
                </c:pt>
                <c:pt idx="262">
                  <c:v>0.39984902745210782</c:v>
                </c:pt>
                <c:pt idx="263">
                  <c:v>0.39995896682186755</c:v>
                </c:pt>
                <c:pt idx="264">
                  <c:v>0.40006989344172994</c:v>
                </c:pt>
                <c:pt idx="265">
                  <c:v>0.400181773522372</c:v>
                </c:pt>
                <c:pt idx="266">
                  <c:v>0.40029457298403737</c:v>
                </c:pt>
                <c:pt idx="267">
                  <c:v>0.40040825746691727</c:v>
                </c:pt>
                <c:pt idx="268">
                  <c:v>0.40052279234161697</c:v>
                </c:pt>
                <c:pt idx="269">
                  <c:v>0.40063814271970416</c:v>
                </c:pt>
                <c:pt idx="270">
                  <c:v>0.40075427346433617</c:v>
                </c:pt>
                <c:pt idx="271">
                  <c:v>0.40087114920096323</c:v>
                </c:pt>
                <c:pt idx="272">
                  <c:v>0.40098873432810372</c:v>
                </c:pt>
                <c:pt idx="273">
                  <c:v>0.40110699302818892</c:v>
                </c:pt>
                <c:pt idx="274">
                  <c:v>0.40122588927847314</c:v>
                </c:pt>
                <c:pt idx="275">
                  <c:v>0.40134538686200677</c:v>
                </c:pt>
                <c:pt idx="276">
                  <c:v>0.40146544937866829</c:v>
                </c:pt>
                <c:pt idx="277">
                  <c:v>0.40158604025625205</c:v>
                </c:pt>
                <c:pt idx="278">
                  <c:v>0.40170712276160847</c:v>
                </c:pt>
                <c:pt idx="279">
                  <c:v>0.40182866001183359</c:v>
                </c:pt>
                <c:pt idx="280">
                  <c:v>0.40195061498550355</c:v>
                </c:pt>
                <c:pt idx="281">
                  <c:v>0.40207295053395203</c:v>
                </c:pt>
                <c:pt idx="282">
                  <c:v>0.4021956293925858</c:v>
                </c:pt>
                <c:pt idx="283">
                  <c:v>0.40231861419223613</c:v>
                </c:pt>
                <c:pt idx="284">
                  <c:v>0.40244186747054173</c:v>
                </c:pt>
                <c:pt idx="285">
                  <c:v>0.40256535168335994</c:v>
                </c:pt>
                <c:pt idx="286">
                  <c:v>0.40268902921620342</c:v>
                </c:pt>
                <c:pt idx="287">
                  <c:v>0.40281286239569752</c:v>
                </c:pt>
                <c:pt idx="288">
                  <c:v>0.4029368135010562</c:v>
                </c:pt>
                <c:pt idx="289">
                  <c:v>0.40306084477557197</c:v>
                </c:pt>
                <c:pt idx="290">
                  <c:v>0.4031849184381171</c:v>
                </c:pt>
                <c:pt idx="291">
                  <c:v>0.40330899669465214</c:v>
                </c:pt>
                <c:pt idx="292">
                  <c:v>0.4034330417497381</c:v>
                </c:pt>
                <c:pt idx="293">
                  <c:v>0.40355701581804954</c:v>
                </c:pt>
                <c:pt idx="294">
                  <c:v>0.4036808811358843</c:v>
                </c:pt>
                <c:pt idx="295">
                  <c:v>0.40380459997266671</c:v>
                </c:pt>
                <c:pt idx="296">
                  <c:v>0.40392813464244054</c:v>
                </c:pt>
                <c:pt idx="297">
                  <c:v>0.40405144751534866</c:v>
                </c:pt>
                <c:pt idx="298">
                  <c:v>0.40417450102909547</c:v>
                </c:pt>
                <c:pt idx="299">
                  <c:v>0.4042972577003886</c:v>
                </c:pt>
                <c:pt idx="300">
                  <c:v>0.40441968013635687</c:v>
                </c:pt>
                <c:pt idx="301">
                  <c:v>0.40454173104594021</c:v>
                </c:pt>
                <c:pt idx="302">
                  <c:v>0.4046633732512494</c:v>
                </c:pt>
                <c:pt idx="303">
                  <c:v>0.40478456969889021</c:v>
                </c:pt>
                <c:pt idx="304">
                  <c:v>0.40490528347125065</c:v>
                </c:pt>
                <c:pt idx="305">
                  <c:v>0.40502547779774634</c:v>
                </c:pt>
                <c:pt idx="306">
                  <c:v>0.40514511606602099</c:v>
                </c:pt>
                <c:pt idx="307">
                  <c:v>0.40526416183309916</c:v>
                </c:pt>
                <c:pt idx="308">
                  <c:v>0.40538257883648704</c:v>
                </c:pt>
                <c:pt idx="309">
                  <c:v>0.40550033100521815</c:v>
                </c:pt>
                <c:pt idx="310">
                  <c:v>0.40561738247084128</c:v>
                </c:pt>
                <c:pt idx="311">
                  <c:v>0.4057336975783461</c:v>
                </c:pt>
                <c:pt idx="312">
                  <c:v>0.40584924089702407</c:v>
                </c:pt>
                <c:pt idx="313">
                  <c:v>0.40596397723126104</c:v>
                </c:pt>
                <c:pt idx="314">
                  <c:v>0.40607787163125814</c:v>
                </c:pt>
                <c:pt idx="315">
                  <c:v>0.40619088940367776</c:v>
                </c:pt>
                <c:pt idx="316">
                  <c:v>0.4063029961222116</c:v>
                </c:pt>
                <c:pt idx="317">
                  <c:v>0.40641415763806726</c:v>
                </c:pt>
                <c:pt idx="318">
                  <c:v>0.40652434009037008</c:v>
                </c:pt>
                <c:pt idx="319">
                  <c:v>0.40663350991647779</c:v>
                </c:pt>
                <c:pt idx="320">
                  <c:v>0.4067416338622038</c:v>
                </c:pt>
                <c:pt idx="321">
                  <c:v>0.40684867899194677</c:v>
                </c:pt>
                <c:pt idx="322">
                  <c:v>0.40695461269872329</c:v>
                </c:pt>
                <c:pt idx="323">
                  <c:v>0.40705940271410002</c:v>
                </c:pt>
                <c:pt idx="324">
                  <c:v>0.40716301711802311</c:v>
                </c:pt>
                <c:pt idx="325">
                  <c:v>0.40726542434854146</c:v>
                </c:pt>
                <c:pt idx="326">
                  <c:v>0.40736659321142066</c:v>
                </c:pt>
                <c:pt idx="327">
                  <c:v>0.40746649288964487</c:v>
                </c:pt>
                <c:pt idx="328">
                  <c:v>0.40756509295280452</c:v>
                </c:pt>
                <c:pt idx="329">
                  <c:v>0.40766236336636513</c:v>
                </c:pt>
                <c:pt idx="330">
                  <c:v>0.40775827450081642</c:v>
                </c:pt>
                <c:pt idx="331">
                  <c:v>0.40785279714069783</c:v>
                </c:pt>
                <c:pt idx="332">
                  <c:v>0.40794590249349749</c:v>
                </c:pt>
                <c:pt idx="333">
                  <c:v>0.40803756219842302</c:v>
                </c:pt>
                <c:pt idx="334">
                  <c:v>0.4081277483350404</c:v>
                </c:pt>
                <c:pt idx="335">
                  <c:v>0.40821643343177877</c:v>
                </c:pt>
                <c:pt idx="336">
                  <c:v>0.40830359047429854</c:v>
                </c:pt>
                <c:pt idx="337">
                  <c:v>0.40838919291372028</c:v>
                </c:pt>
                <c:pt idx="338">
                  <c:v>0.40847321467471159</c:v>
                </c:pt>
                <c:pt idx="339">
                  <c:v>0.40855563016343027</c:v>
                </c:pt>
                <c:pt idx="340">
                  <c:v>0.40863641427531999</c:v>
                </c:pt>
                <c:pt idx="341">
                  <c:v>0.4087155424027577</c:v>
                </c:pt>
                <c:pt idx="342">
                  <c:v>0.4087929904425493</c:v>
                </c:pt>
                <c:pt idx="343">
                  <c:v>0.40886873480327157</c:v>
                </c:pt>
                <c:pt idx="344">
                  <c:v>0.40894275241245848</c:v>
                </c:pt>
                <c:pt idx="345">
                  <c:v>0.40901502072362927</c:v>
                </c:pt>
                <c:pt idx="346">
                  <c:v>0.40908551772315627</c:v>
                </c:pt>
                <c:pt idx="347">
                  <c:v>0.40915422193697054</c:v>
                </c:pt>
                <c:pt idx="348">
                  <c:v>0.40922111243710296</c:v>
                </c:pt>
                <c:pt idx="349">
                  <c:v>0.40928616884805918</c:v>
                </c:pt>
                <c:pt idx="350">
                  <c:v>0.40934937135302624</c:v>
                </c:pt>
                <c:pt idx="351">
                  <c:v>0.40941070069990892</c:v>
                </c:pt>
                <c:pt idx="352">
                  <c:v>0.40947013820719397</c:v>
                </c:pt>
                <c:pt idx="353">
                  <c:v>0.40952766576964089</c:v>
                </c:pt>
                <c:pt idx="354">
                  <c:v>0.4095832658637969</c:v>
                </c:pt>
                <c:pt idx="355">
                  <c:v>0.40963692155333475</c:v>
                </c:pt>
                <c:pt idx="356">
                  <c:v>0.40968861649421162</c:v>
                </c:pt>
                <c:pt idx="357">
                  <c:v>0.40973833493964767</c:v>
                </c:pt>
                <c:pt idx="358">
                  <c:v>0.40978606174492282</c:v>
                </c:pt>
                <c:pt idx="359">
                  <c:v>0.40983178237198986</c:v>
                </c:pt>
                <c:pt idx="360">
                  <c:v>0.40987548289390291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IF特性!$M$86</c:f>
              <c:strCache>
                <c:ptCount val="1"/>
                <c:pt idx="0">
                  <c:v>5000K(ANSI)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lgDash"/>
            </a:ln>
          </c:spPr>
          <c:marker>
            <c:symbol val="none"/>
          </c:marker>
          <c:xVal>
            <c:numRef>
              <c:f>IF特性!$M$88:$M$92</c:f>
              <c:numCache>
                <c:formatCode>0.0000_ </c:formatCode>
                <c:ptCount val="5"/>
              </c:numCache>
            </c:numRef>
          </c:xVal>
          <c:yVal>
            <c:numRef>
              <c:f>IF特性!$N$88:$N$92</c:f>
              <c:numCache>
                <c:formatCode>0.0000_ </c:formatCode>
                <c:ptCount val="5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098560"/>
        <c:axId val="116100480"/>
      </c:scatterChart>
      <c:valAx>
        <c:axId val="116098560"/>
        <c:scaling>
          <c:orientation val="minMax"/>
          <c:max val="0.46"/>
          <c:min val="0.41000000000000003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CIE x</a:t>
                </a:r>
              </a:p>
            </c:rich>
          </c:tx>
          <c:layout>
            <c:manualLayout>
              <c:xMode val="edge"/>
              <c:yMode val="edge"/>
              <c:x val="0.45757112354524815"/>
              <c:y val="0.9135264300388171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0_);[Red]\(#,##0.00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100480"/>
        <c:crosses val="autoZero"/>
        <c:crossBetween val="midCat"/>
        <c:majorUnit val="1.0000000000000002E-2"/>
        <c:minorUnit val="5.000000000000001E-3"/>
      </c:valAx>
      <c:valAx>
        <c:axId val="116100480"/>
        <c:scaling>
          <c:orientation val="minMax"/>
          <c:max val="0.43000000000000005"/>
          <c:min val="0.37000000000000005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CIE y</a:t>
                </a:r>
              </a:p>
            </c:rich>
          </c:tx>
          <c:layout>
            <c:manualLayout>
              <c:xMode val="edge"/>
              <c:yMode val="edge"/>
              <c:x val="2.6622275109501988E-2"/>
              <c:y val="0.45011133031874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0_);[Red]\(#,##0.00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098560"/>
        <c:crosses val="autoZero"/>
        <c:crossBetween val="midCat"/>
        <c:majorUnit val="1.0000000000000002E-2"/>
        <c:minorUnit val="5.000000000000001E-3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045083592846707"/>
          <c:y val="0.36807141901053941"/>
          <c:w val="0.23151142280848336"/>
          <c:h val="0.2350334922103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99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en-US"/>
              <a:t>IF/die-⊿VF</a:t>
            </a:r>
          </a:p>
        </c:rich>
      </c:tx>
      <c:layout>
        <c:manualLayout>
          <c:xMode val="edge"/>
          <c:yMode val="edge"/>
          <c:x val="0.42227378190255221"/>
          <c:y val="3.85966264706422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53132250580047"/>
          <c:y val="0.14035135811183563"/>
          <c:w val="0.54060324825986084"/>
          <c:h val="0.5964932719753014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IF特性!$C$14</c:f>
              <c:strCache>
                <c:ptCount val="1"/>
                <c:pt idx="0">
                  <c:v>IF-VF特性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poly"/>
            <c:order val="3"/>
            <c:dispRSqr val="0"/>
            <c:dispEq val="1"/>
            <c:trendlineLbl>
              <c:layout>
                <c:manualLayout>
                  <c:x val="0.38735839576714509"/>
                  <c:y val="0.16464964775400226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25" b="0" i="0" u="none" strike="noStrike" baseline="0">
                      <a:solidFill>
                        <a:srgbClr val="0000FF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IF特性!$C$16:$C$27</c:f>
              <c:numCache>
                <c:formatCode>0_);[Red]\(0\)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IF特性!$J$16:$J$27</c:f>
              <c:numCache>
                <c:formatCode>0%</c:formatCode>
                <c:ptCount val="12"/>
                <c:pt idx="0">
                  <c:v>0.89407100477678525</c:v>
                </c:pt>
                <c:pt idx="1">
                  <c:v>0.92185069449224277</c:v>
                </c:pt>
                <c:pt idx="2">
                  <c:v>0.94510138623129547</c:v>
                </c:pt>
                <c:pt idx="3">
                  <c:v>0.96584667483446451</c:v>
                </c:pt>
                <c:pt idx="4">
                  <c:v>0.98498134713599372</c:v>
                </c:pt>
                <c:pt idx="5">
                  <c:v>1</c:v>
                </c:pt>
                <c:pt idx="6">
                  <c:v>1.0198092039150364</c:v>
                </c:pt>
                <c:pt idx="7">
                  <c:v>1.0359979626392084</c:v>
                </c:pt>
                <c:pt idx="8">
                  <c:v>1.05134699833432</c:v>
                </c:pt>
                <c:pt idx="9">
                  <c:v>1.066310587393142</c:v>
                </c:pt>
                <c:pt idx="10">
                  <c:v>1.0901669809892214</c:v>
                </c:pt>
                <c:pt idx="11">
                  <c:v>1.1124953539914375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176000"/>
        <c:axId val="116177920"/>
      </c:scatterChart>
      <c:valAx>
        <c:axId val="116176000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IF/die [mA]</a:t>
                </a:r>
              </a:p>
            </c:rich>
          </c:tx>
          <c:layout>
            <c:manualLayout>
              <c:xMode val="edge"/>
              <c:yMode val="edge"/>
              <c:x val="0.33642691415313225"/>
              <c:y val="0.8842134243709046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177920"/>
        <c:crosses val="autoZero"/>
        <c:crossBetween val="midCat"/>
        <c:majorUnit val="20"/>
      </c:valAx>
      <c:valAx>
        <c:axId val="11617792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⊿VF [%]</a:t>
                </a:r>
              </a:p>
            </c:rich>
          </c:tx>
          <c:layout>
            <c:manualLayout>
              <c:xMode val="edge"/>
              <c:yMode val="edge"/>
              <c:x val="1.3921113689095127E-2"/>
              <c:y val="0.3543872400565313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17600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682134570765661"/>
          <c:y val="0.51748325165648001"/>
          <c:w val="0.3225058004640371"/>
          <c:h val="0.1258744929611070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copies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IF/die-⊿φv</a:t>
            </a:r>
          </a:p>
        </c:rich>
      </c:tx>
      <c:layout>
        <c:manualLayout>
          <c:xMode val="edge"/>
          <c:yMode val="edge"/>
          <c:x val="0.41860513947384481"/>
          <c:y val="3.53358471036190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20945813210633"/>
          <c:y val="0.15194372505749823"/>
          <c:w val="0.5511634165645628"/>
          <c:h val="0.57597272521795839"/>
        </c:manualLayout>
      </c:layout>
      <c:scatterChart>
        <c:scatterStyle val="smoothMarker"/>
        <c:varyColors val="0"/>
        <c:ser>
          <c:idx val="0"/>
          <c:order val="0"/>
          <c:tx>
            <c:strRef>
              <c:f>IF特性!$C$29</c:f>
              <c:strCache>
                <c:ptCount val="1"/>
                <c:pt idx="0">
                  <c:v>IF-φv特性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poly"/>
            <c:order val="3"/>
            <c:dispRSqr val="0"/>
            <c:dispEq val="1"/>
            <c:trendlineLbl>
              <c:layout>
                <c:manualLayout>
                  <c:x val="0.33666196538116572"/>
                  <c:y val="0.13400883168941174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FF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IF特性!$C$31:$C$42</c:f>
              <c:numCache>
                <c:formatCode>0_);[Red]\(0\)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90</c:v>
                </c:pt>
                <c:pt idx="3">
                  <c:v>120</c:v>
                </c:pt>
                <c:pt idx="4">
                  <c:v>150</c:v>
                </c:pt>
                <c:pt idx="5">
                  <c:v>175</c:v>
                </c:pt>
                <c:pt idx="6">
                  <c:v>210</c:v>
                </c:pt>
                <c:pt idx="7">
                  <c:v>240</c:v>
                </c:pt>
                <c:pt idx="8">
                  <c:v>270</c:v>
                </c:pt>
                <c:pt idx="9">
                  <c:v>300</c:v>
                </c:pt>
                <c:pt idx="10">
                  <c:v>350</c:v>
                </c:pt>
                <c:pt idx="11">
                  <c:v>400</c:v>
                </c:pt>
              </c:numCache>
            </c:numRef>
          </c:xVal>
          <c:yVal>
            <c:numRef>
              <c:f>IF特性!$L$31:$L$42</c:f>
              <c:numCache>
                <c:formatCode>0%</c:formatCode>
                <c:ptCount val="12"/>
                <c:pt idx="0">
                  <c:v>0.19468868156718924</c:v>
                </c:pt>
                <c:pt idx="1">
                  <c:v>0.3800290816875817</c:v>
                </c:pt>
                <c:pt idx="2">
                  <c:v>0.55454322021076963</c:v>
                </c:pt>
                <c:pt idx="3">
                  <c:v>0.7196920375007495</c:v>
                </c:pt>
                <c:pt idx="4">
                  <c:v>0.87608965715375064</c:v>
                </c:pt>
                <c:pt idx="5">
                  <c:v>1</c:v>
                </c:pt>
                <c:pt idx="6">
                  <c:v>1.1645672289260369</c:v>
                </c:pt>
                <c:pt idx="7">
                  <c:v>1.2984864971030525</c:v>
                </c:pt>
                <c:pt idx="8">
                  <c:v>1.4242638661222202</c:v>
                </c:pt>
                <c:pt idx="9">
                  <c:v>1.5453015955354166</c:v>
                </c:pt>
                <c:pt idx="10">
                  <c:v>1.7332250284280661</c:v>
                </c:pt>
                <c:pt idx="11">
                  <c:v>1.9008580811373752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216192"/>
        <c:axId val="116218112"/>
      </c:scatterChart>
      <c:valAx>
        <c:axId val="116216192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IF/die [mA]</a:t>
                </a:r>
              </a:p>
            </c:rich>
          </c:tx>
          <c:layout>
            <c:manualLayout>
              <c:xMode val="edge"/>
              <c:yMode val="edge"/>
              <c:x val="0.3348842092412867"/>
              <c:y val="0.8833935898857712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218112"/>
        <c:crosses val="autoZero"/>
        <c:crossBetween val="midCat"/>
        <c:majorUnit val="20"/>
      </c:valAx>
      <c:valAx>
        <c:axId val="11621811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9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⊿φv [%]</a:t>
                </a:r>
              </a:p>
            </c:rich>
          </c:tx>
          <c:layout>
            <c:manualLayout>
              <c:xMode val="edge"/>
              <c:yMode val="edge"/>
              <c:x val="1.1627906976744186E-2"/>
              <c:y val="0.3427573842002144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21619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5814026735030207"/>
          <c:y val="0.39788695427156112"/>
          <c:w val="0.33255862784593782"/>
          <c:h val="0.126760563380281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en-US"/>
              <a:t>Tc-⊿xy</a:t>
            </a:r>
          </a:p>
        </c:rich>
      </c:tx>
      <c:layout>
        <c:manualLayout>
          <c:xMode val="edge"/>
          <c:yMode val="edge"/>
          <c:x val="0.44651211621803089"/>
          <c:y val="3.96476351387250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906997078257947"/>
          <c:y val="0.1277533039647577"/>
          <c:w val="0.54651224849228797"/>
          <c:h val="0.7224669603524228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Tc特性!$M$42</c:f>
              <c:strCache>
                <c:ptCount val="1"/>
                <c:pt idx="0">
                  <c:v>⊿x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trendline>
            <c:spPr>
              <a:ln w="25400">
                <a:solidFill>
                  <a:srgbClr val="0000FF"/>
                </a:solidFill>
                <a:prstDash val="solid"/>
              </a:ln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25974567658291564"/>
                  <c:y val="0.32730843542990945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Tc特性!$C$43:$C$51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Tc特性!$M$43:$M$51</c:f>
              <c:numCache>
                <c:formatCode>0.0000</c:formatCode>
                <c:ptCount val="9"/>
                <c:pt idx="0">
                  <c:v>6.1544505255201054E-4</c:v>
                </c:pt>
                <c:pt idx="1">
                  <c:v>0</c:v>
                </c:pt>
                <c:pt idx="2">
                  <c:v>4.2690620119900657E-4</c:v>
                </c:pt>
                <c:pt idx="3">
                  <c:v>3.7542302127047122E-4</c:v>
                </c:pt>
                <c:pt idx="4">
                  <c:v>3.2475378583651793E-4</c:v>
                </c:pt>
                <c:pt idx="5">
                  <c:v>-2.1812512155400254E-4</c:v>
                </c:pt>
                <c:pt idx="6">
                  <c:v>-1.4194262885409703E-3</c:v>
                </c:pt>
                <c:pt idx="7">
                  <c:v>-3.4189201251169643E-3</c:v>
                </c:pt>
                <c:pt idx="8">
                  <c:v>-4.6421337262264606E-3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Tc特性!$N$42</c:f>
              <c:strCache>
                <c:ptCount val="1"/>
                <c:pt idx="0">
                  <c:v>⊿y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trendline>
            <c:spPr>
              <a:ln w="25400">
                <a:solidFill>
                  <a:srgbClr val="FF00FF"/>
                </a:solidFill>
                <a:prstDash val="solid"/>
              </a:ln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26274124410937449"/>
                  <c:y val="0.33319226030440102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FF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Tc特性!$C$43:$C$51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Tc特性!$N$43:$N$51</c:f>
              <c:numCache>
                <c:formatCode>0.0000</c:formatCode>
                <c:ptCount val="9"/>
                <c:pt idx="0">
                  <c:v>5.3283640850025349E-3</c:v>
                </c:pt>
                <c:pt idx="1">
                  <c:v>0</c:v>
                </c:pt>
                <c:pt idx="2">
                  <c:v>-3.1416501422298904E-4</c:v>
                </c:pt>
                <c:pt idx="3">
                  <c:v>-6.2379571367399134E-4</c:v>
                </c:pt>
                <c:pt idx="4">
                  <c:v>-6.576548578054453E-4</c:v>
                </c:pt>
                <c:pt idx="5">
                  <c:v>-8.3496699999352497E-4</c:v>
                </c:pt>
                <c:pt idx="6">
                  <c:v>-8.1682569867502774E-4</c:v>
                </c:pt>
                <c:pt idx="7">
                  <c:v>-6.605277961384548E-4</c:v>
                </c:pt>
                <c:pt idx="8">
                  <c:v>-4.0649303713047313E-4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11648"/>
        <c:axId val="62017920"/>
      </c:scatterChart>
      <c:valAx>
        <c:axId val="6201164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Tc [℃]</a:t>
                </a:r>
              </a:p>
            </c:rich>
          </c:tx>
          <c:layout>
            <c:manualLayout>
              <c:xMode val="edge"/>
              <c:yMode val="edge"/>
              <c:x val="0.40465165110175177"/>
              <c:y val="0.889867916308032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2017920"/>
        <c:crosses val="autoZero"/>
        <c:crossBetween val="midCat"/>
        <c:majorUnit val="20"/>
      </c:valAx>
      <c:valAx>
        <c:axId val="62017920"/>
        <c:scaling>
          <c:orientation val="minMax"/>
          <c:max val="0.01"/>
          <c:min val="-0.01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⊿ｘｙ</a:t>
                </a:r>
              </a:p>
            </c:rich>
          </c:tx>
          <c:layout>
            <c:manualLayout>
              <c:xMode val="edge"/>
              <c:yMode val="edge"/>
              <c:x val="1.8604651162790697E-2"/>
              <c:y val="0.42731273975368461"/>
            </c:manualLayout>
          </c:layout>
          <c:overlay val="0"/>
          <c:spPr>
            <a:noFill/>
            <a:ln w="25400">
              <a:noFill/>
            </a:ln>
          </c:spPr>
        </c:title>
        <c:numFmt formatCode="0.000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201164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721003479216263"/>
          <c:y val="0.37885470793883558"/>
          <c:w val="0.23953512787645725"/>
          <c:h val="0.303964635999447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en-US"/>
              <a:t>Tc-⊿VF</a:t>
            </a:r>
          </a:p>
        </c:rich>
      </c:tx>
      <c:layout>
        <c:manualLayout>
          <c:xMode val="edge"/>
          <c:yMode val="edge"/>
          <c:x val="0.44648866387662772"/>
          <c:y val="3.13199105145413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77937344809313"/>
          <c:y val="0.15212561199142721"/>
          <c:w val="0.53846197812857488"/>
          <c:h val="0.6890395366670526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Tc特性!$E$14</c:f>
              <c:strCache>
                <c:ptCount val="1"/>
                <c:pt idx="0">
                  <c:v>No.1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Tc特性!$C$15:$C$23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Tc特性!$E$15:$E$23</c:f>
              <c:numCache>
                <c:formatCode>0.0</c:formatCode>
                <c:ptCount val="9"/>
                <c:pt idx="0">
                  <c:v>37.018000000000001</c:v>
                </c:pt>
                <c:pt idx="1">
                  <c:v>36.314999999999998</c:v>
                </c:pt>
                <c:pt idx="2">
                  <c:v>35.878</c:v>
                </c:pt>
                <c:pt idx="3">
                  <c:v>35.493000000000002</c:v>
                </c:pt>
                <c:pt idx="4">
                  <c:v>35.465000000000003</c:v>
                </c:pt>
                <c:pt idx="5">
                  <c:v>35.133000000000003</c:v>
                </c:pt>
                <c:pt idx="6">
                  <c:v>34.822000000000003</c:v>
                </c:pt>
                <c:pt idx="7">
                  <c:v>34.514000000000003</c:v>
                </c:pt>
                <c:pt idx="8">
                  <c:v>34.363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Tc特性!$F$14</c:f>
              <c:strCache>
                <c:ptCount val="1"/>
                <c:pt idx="0">
                  <c:v>No.2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Tc特性!$C$15:$C$23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Tc特性!$F$15:$F$23</c:f>
              <c:numCache>
                <c:formatCode>0.0</c:formatCode>
                <c:ptCount val="9"/>
                <c:pt idx="0">
                  <c:v>36.978999999999999</c:v>
                </c:pt>
                <c:pt idx="1">
                  <c:v>36.292999999999999</c:v>
                </c:pt>
                <c:pt idx="2">
                  <c:v>35.847999999999999</c:v>
                </c:pt>
                <c:pt idx="3">
                  <c:v>35.462000000000003</c:v>
                </c:pt>
                <c:pt idx="4">
                  <c:v>35.435000000000002</c:v>
                </c:pt>
                <c:pt idx="5">
                  <c:v>35.119999999999997</c:v>
                </c:pt>
                <c:pt idx="6">
                  <c:v>34.79</c:v>
                </c:pt>
                <c:pt idx="7">
                  <c:v>34.485999999999997</c:v>
                </c:pt>
                <c:pt idx="8">
                  <c:v>34.338000000000001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Tc特性!$G$14</c:f>
              <c:strCache>
                <c:ptCount val="1"/>
                <c:pt idx="0">
                  <c:v>No.**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Tc特性!$C$15:$C$23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Tc特性!$G$15:$G$23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250880"/>
        <c:axId val="117637504"/>
      </c:scatterChart>
      <c:valAx>
        <c:axId val="116250880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Tc [℃]</a:t>
                </a:r>
              </a:p>
            </c:rich>
          </c:tx>
          <c:layout>
            <c:manualLayout>
              <c:xMode val="edge"/>
              <c:yMode val="edge"/>
              <c:x val="0.35953205364676749"/>
              <c:y val="0.9149909281474043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637504"/>
        <c:crosses val="autoZero"/>
        <c:crossBetween val="midCat"/>
      </c:valAx>
      <c:valAx>
        <c:axId val="117637504"/>
        <c:scaling>
          <c:orientation val="minMax"/>
          <c:min val="3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⊿VF [V]</a:t>
                </a:r>
              </a:p>
            </c:rich>
          </c:tx>
          <c:layout>
            <c:manualLayout>
              <c:xMode val="edge"/>
              <c:yMode val="edge"/>
              <c:x val="2.6755880070726216E-2"/>
              <c:y val="0.42505686789151353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250880"/>
        <c:crosses val="autoZero"/>
        <c:crossBetween val="midCat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352248779887967"/>
          <c:y val="0.40492263970359405"/>
          <c:w val="0.11793231823404948"/>
          <c:h val="0.138702695720081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99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copies="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Tc-⊿Φv</a:t>
            </a:r>
          </a:p>
        </c:rich>
      </c:tx>
      <c:layout>
        <c:manualLayout>
          <c:xMode val="edge"/>
          <c:yMode val="edge"/>
          <c:x val="0.44369783188866097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96639965730014"/>
          <c:y val="0.15178587971919438"/>
          <c:w val="0.53109287281124673"/>
          <c:h val="0.69196503989632729"/>
        </c:manualLayout>
      </c:layout>
      <c:scatterChart>
        <c:scatterStyle val="smoothMarker"/>
        <c:varyColors val="0"/>
        <c:ser>
          <c:idx val="0"/>
          <c:order val="0"/>
          <c:tx>
            <c:strRef>
              <c:f>Tc特性!$E$28</c:f>
              <c:strCache>
                <c:ptCount val="1"/>
                <c:pt idx="0">
                  <c:v>No.1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Tc特性!$C$29:$C$37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Tc特性!$E$29:$E$37</c:f>
              <c:numCache>
                <c:formatCode>0.0</c:formatCode>
                <c:ptCount val="9"/>
                <c:pt idx="0">
                  <c:v>731.968026079065</c:v>
                </c:pt>
                <c:pt idx="1">
                  <c:v>702.88576855884696</c:v>
                </c:pt>
                <c:pt idx="2">
                  <c:v>679.77923643760505</c:v>
                </c:pt>
                <c:pt idx="3">
                  <c:v>651.96678803099599</c:v>
                </c:pt>
                <c:pt idx="4">
                  <c:v>649.32493952459595</c:v>
                </c:pt>
                <c:pt idx="5">
                  <c:v>617.34039545782696</c:v>
                </c:pt>
                <c:pt idx="6">
                  <c:v>583.671571514535</c:v>
                </c:pt>
                <c:pt idx="7">
                  <c:v>543.91777000000195</c:v>
                </c:pt>
                <c:pt idx="8">
                  <c:v>522.430444835054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Tc特性!$G$28</c:f>
              <c:strCache>
                <c:ptCount val="1"/>
                <c:pt idx="0">
                  <c:v>No.2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Tc特性!$C$29:$C$37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Tc特性!$G$29:$G$37</c:f>
              <c:numCache>
                <c:formatCode>0.0</c:formatCode>
                <c:ptCount val="9"/>
                <c:pt idx="0">
                  <c:v>724.63208821372098</c:v>
                </c:pt>
                <c:pt idx="1">
                  <c:v>700.90972870266103</c:v>
                </c:pt>
                <c:pt idx="2">
                  <c:v>676.15551007553495</c:v>
                </c:pt>
                <c:pt idx="3">
                  <c:v>647.25571684449801</c:v>
                </c:pt>
                <c:pt idx="4">
                  <c:v>645.08418234335704</c:v>
                </c:pt>
                <c:pt idx="5">
                  <c:v>615.77202130749902</c:v>
                </c:pt>
                <c:pt idx="6">
                  <c:v>578.60239810055305</c:v>
                </c:pt>
                <c:pt idx="7">
                  <c:v>539.23899215643701</c:v>
                </c:pt>
                <c:pt idx="8">
                  <c:v>518.12547056404401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Tc特性!$I$28</c:f>
              <c:strCache>
                <c:ptCount val="1"/>
                <c:pt idx="0">
                  <c:v>No.**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Tc特性!$C$29:$C$37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Tc特性!$I$29:$I$37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680384"/>
        <c:axId val="117686656"/>
      </c:scatterChart>
      <c:valAx>
        <c:axId val="11768038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Tc ［℃］</a:t>
                </a:r>
              </a:p>
            </c:rich>
          </c:tx>
          <c:layout>
            <c:manualLayout>
              <c:xMode val="edge"/>
              <c:yMode val="edge"/>
              <c:x val="0.37647094113235846"/>
              <c:y val="0.917411651668541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686656"/>
        <c:crosses val="autoZero"/>
        <c:crossBetween val="midCat"/>
      </c:valAx>
      <c:valAx>
        <c:axId val="11768665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⊿Φv [lm]</a:t>
                </a:r>
              </a:p>
            </c:rich>
          </c:tx>
          <c:layout>
            <c:manualLayout>
              <c:xMode val="edge"/>
              <c:yMode val="edge"/>
              <c:x val="2.5210084033613446E-2"/>
              <c:y val="0.4151790401199849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68038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32780167184984"/>
          <c:y val="0.40178618297712781"/>
          <c:w val="0.12605059661659934"/>
          <c:h val="0.142857377202849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99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copies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en-US"/>
              <a:t>Tc-xy</a:t>
            </a:r>
          </a:p>
        </c:rich>
      </c:tx>
      <c:layout>
        <c:manualLayout>
          <c:xMode val="edge"/>
          <c:yMode val="edge"/>
          <c:x val="0.46386593721239389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02534386927511"/>
          <c:y val="0.15178587971919438"/>
          <c:w val="0.66218541736592151"/>
          <c:h val="0.68750074931635097"/>
        </c:manualLayout>
      </c:layout>
      <c:scatterChart>
        <c:scatterStyle val="lineMarker"/>
        <c:varyColors val="0"/>
        <c:ser>
          <c:idx val="2"/>
          <c:order val="0"/>
          <c:tx>
            <c:strRef>
              <c:f>Tc特性!$E$41</c:f>
              <c:strCache>
                <c:ptCount val="1"/>
                <c:pt idx="0">
                  <c:v>No.1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Tc特性!$E$43:$E$51</c:f>
              <c:numCache>
                <c:formatCode>0.0000</c:formatCode>
                <c:ptCount val="9"/>
                <c:pt idx="0">
                  <c:v>0.43377853286876999</c:v>
                </c:pt>
                <c:pt idx="1">
                  <c:v>0.43476078242412303</c:v>
                </c:pt>
                <c:pt idx="2">
                  <c:v>0.43505908421328698</c:v>
                </c:pt>
                <c:pt idx="3">
                  <c:v>0.43504506158593997</c:v>
                </c:pt>
                <c:pt idx="4">
                  <c:v>0.43494757024483899</c:v>
                </c:pt>
                <c:pt idx="5">
                  <c:v>0.43440979898478599</c:v>
                </c:pt>
                <c:pt idx="6">
                  <c:v>0.43324386897577899</c:v>
                </c:pt>
                <c:pt idx="7">
                  <c:v>0.43132839095779002</c:v>
                </c:pt>
                <c:pt idx="8">
                  <c:v>0.43007565712680901</c:v>
                </c:pt>
              </c:numCache>
            </c:numRef>
          </c:xVal>
          <c:yVal>
            <c:numRef>
              <c:f>Tc特性!$F$43:$F$51</c:f>
              <c:numCache>
                <c:formatCode>0.0000</c:formatCode>
                <c:ptCount val="9"/>
                <c:pt idx="0">
                  <c:v>0.41134887882433802</c:v>
                </c:pt>
                <c:pt idx="1">
                  <c:v>0.405399877859074</c:v>
                </c:pt>
                <c:pt idx="2">
                  <c:v>0.40496832673451599</c:v>
                </c:pt>
                <c:pt idx="3">
                  <c:v>0.40476374499488899</c:v>
                </c:pt>
                <c:pt idx="4">
                  <c:v>0.40468961324838998</c:v>
                </c:pt>
                <c:pt idx="5">
                  <c:v>0.40455191403872598</c:v>
                </c:pt>
                <c:pt idx="6">
                  <c:v>0.40452372460290698</c:v>
                </c:pt>
                <c:pt idx="7">
                  <c:v>0.40476870522036001</c:v>
                </c:pt>
                <c:pt idx="8">
                  <c:v>0.40500712046863802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Tc特性!$G$41</c:f>
              <c:strCache>
                <c:ptCount val="1"/>
                <c:pt idx="0">
                  <c:v>No.2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Tc特性!$G$43:$G$51</c:f>
              <c:numCache>
                <c:formatCode>0.0000</c:formatCode>
                <c:ptCount val="9"/>
                <c:pt idx="0">
                  <c:v>0.436730724824545</c:v>
                </c:pt>
                <c:pt idx="1">
                  <c:v>0.434517585164088</c:v>
                </c:pt>
                <c:pt idx="2">
                  <c:v>0.43507309577732201</c:v>
                </c:pt>
                <c:pt idx="3">
                  <c:v>0.434984152044812</c:v>
                </c:pt>
                <c:pt idx="4">
                  <c:v>0.43498030491504502</c:v>
                </c:pt>
                <c:pt idx="5">
                  <c:v>0.43443231836031698</c:v>
                </c:pt>
                <c:pt idx="6">
                  <c:v>0.43319564603534999</c:v>
                </c:pt>
                <c:pt idx="7">
                  <c:v>0.43111213638018703</c:v>
                </c:pt>
                <c:pt idx="8">
                  <c:v>0.42991844300894899</c:v>
                </c:pt>
              </c:numCache>
            </c:numRef>
          </c:xVal>
          <c:yVal>
            <c:numRef>
              <c:f>Tc特性!$H$43:$H$51</c:f>
              <c:numCache>
                <c:formatCode>0.0000</c:formatCode>
                <c:ptCount val="9"/>
                <c:pt idx="0">
                  <c:v>0.410479106459117</c:v>
                </c:pt>
                <c:pt idx="1">
                  <c:v>0.40577137925437601</c:v>
                </c:pt>
                <c:pt idx="2">
                  <c:v>0.40557460035048798</c:v>
                </c:pt>
                <c:pt idx="3">
                  <c:v>0.40515992069121298</c:v>
                </c:pt>
                <c:pt idx="4">
                  <c:v>0.40516633414944903</c:v>
                </c:pt>
                <c:pt idx="5">
                  <c:v>0.40494940907473698</c:v>
                </c:pt>
                <c:pt idx="6">
                  <c:v>0.40501388111319298</c:v>
                </c:pt>
                <c:pt idx="7">
                  <c:v>0.40508149630081303</c:v>
                </c:pt>
                <c:pt idx="8">
                  <c:v>0.40535115057055099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Tc特性!$I$41</c:f>
              <c:strCache>
                <c:ptCount val="1"/>
                <c:pt idx="0">
                  <c:v>No.**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Ref>
              <c:f>Tc特性!$I$43:$I$51</c:f>
              <c:numCache>
                <c:formatCode>0.000</c:formatCode>
                <c:ptCount val="9"/>
              </c:numCache>
            </c:numRef>
          </c:xVal>
          <c:yVal>
            <c:numRef>
              <c:f>Tc特性!$J$43:$J$51</c:f>
              <c:numCache>
                <c:formatCode>0.000</c:formatCode>
                <c:ptCount val="9"/>
              </c:numCache>
            </c:numRef>
          </c:yVal>
          <c:smooth val="0"/>
        </c:ser>
        <c:ser>
          <c:idx val="3"/>
          <c:order val="3"/>
          <c:tx>
            <c:strRef>
              <c:f>IF特性!$J$86</c:f>
              <c:strCache>
                <c:ptCount val="1"/>
                <c:pt idx="0">
                  <c:v>303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IF特性!$J$95:$J$455</c:f>
              <c:numCache>
                <c:formatCode>General</c:formatCode>
                <c:ptCount val="361"/>
                <c:pt idx="0">
                  <c:v>0.4388993527714305</c:v>
                </c:pt>
                <c:pt idx="1">
                  <c:v>0.43884159695468916</c:v>
                </c:pt>
                <c:pt idx="2">
                  <c:v>0.4387823358796451</c:v>
                </c:pt>
                <c:pt idx="3">
                  <c:v>0.43872158759779589</c:v>
                </c:pt>
                <c:pt idx="4">
                  <c:v>0.43865937061365656</c:v>
                </c:pt>
                <c:pt idx="5">
                  <c:v>0.43859570387912328</c:v>
                </c:pt>
                <c:pt idx="6">
                  <c:v>0.43853060678770012</c:v>
                </c:pt>
                <c:pt idx="7">
                  <c:v>0.43846409916859175</c:v>
                </c:pt>
                <c:pt idx="8">
                  <c:v>0.43839620128066314</c:v>
                </c:pt>
                <c:pt idx="9">
                  <c:v>0.4383269338062688</c:v>
                </c:pt>
                <c:pt idx="10">
                  <c:v>0.43825631784495239</c:v>
                </c:pt>
                <c:pt idx="11">
                  <c:v>0.43818437490701984</c:v>
                </c:pt>
                <c:pt idx="12">
                  <c:v>0.43811112690698695</c:v>
                </c:pt>
                <c:pt idx="13">
                  <c:v>0.43803659615690405</c:v>
                </c:pt>
                <c:pt idx="14">
                  <c:v>0.43796080535955961</c:v>
                </c:pt>
                <c:pt idx="15">
                  <c:v>0.43788377760156483</c:v>
                </c:pt>
                <c:pt idx="16">
                  <c:v>0.43780553634632086</c:v>
                </c:pt>
                <c:pt idx="17">
                  <c:v>0.43772610542687201</c:v>
                </c:pt>
                <c:pt idx="18">
                  <c:v>0.4376455090386458</c:v>
                </c:pt>
                <c:pt idx="19">
                  <c:v>0.43756377173208288</c:v>
                </c:pt>
                <c:pt idx="20">
                  <c:v>0.43748091840515863</c:v>
                </c:pt>
                <c:pt idx="21">
                  <c:v>0.43739697429579905</c:v>
                </c:pt>
                <c:pt idx="22">
                  <c:v>0.43731196497419295</c:v>
                </c:pt>
                <c:pt idx="23">
                  <c:v>0.4372259163350033</c:v>
                </c:pt>
                <c:pt idx="24">
                  <c:v>0.43713885458947915</c:v>
                </c:pt>
                <c:pt idx="25">
                  <c:v>0.43705080625747156</c:v>
                </c:pt>
                <c:pt idx="26">
                  <c:v>0.43696179815935537</c:v>
                </c:pt>
                <c:pt idx="27">
                  <c:v>0.43687185740785955</c:v>
                </c:pt>
                <c:pt idx="28">
                  <c:v>0.43678101139980824</c:v>
                </c:pt>
                <c:pt idx="29">
                  <c:v>0.43668928780777561</c:v>
                </c:pt>
                <c:pt idx="30">
                  <c:v>0.43659671457165627</c:v>
                </c:pt>
                <c:pt idx="31">
                  <c:v>0.43650331989015473</c:v>
                </c:pt>
                <c:pt idx="32">
                  <c:v>0.43640913221219574</c:v>
                </c:pt>
                <c:pt idx="33">
                  <c:v>0.43631418022825841</c:v>
                </c:pt>
                <c:pt idx="34">
                  <c:v>0.43621849286163683</c:v>
                </c:pt>
                <c:pt idx="35">
                  <c:v>0.43612209925962986</c:v>
                </c:pt>
                <c:pt idx="36">
                  <c:v>0.43602502878466248</c:v>
                </c:pt>
                <c:pt idx="37">
                  <c:v>0.43592731100534166</c:v>
                </c:pt>
                <c:pt idx="38">
                  <c:v>0.4358289756874496</c:v>
                </c:pt>
                <c:pt idx="39">
                  <c:v>0.43573005278487675</c:v>
                </c:pt>
                <c:pt idx="40">
                  <c:v>0.43563057243049752</c:v>
                </c:pt>
                <c:pt idx="41">
                  <c:v>0.43553056492699149</c:v>
                </c:pt>
                <c:pt idx="42">
                  <c:v>0.43543006073761309</c:v>
                </c:pt>
                <c:pt idx="43">
                  <c:v>0.43532909047691198</c:v>
                </c:pt>
                <c:pt idx="44">
                  <c:v>0.43522768490140767</c:v>
                </c:pt>
                <c:pt idx="45">
                  <c:v>0.43512587490022087</c:v>
                </c:pt>
                <c:pt idx="46">
                  <c:v>0.43502369148566411</c:v>
                </c:pt>
                <c:pt idx="47">
                  <c:v>0.43492116578379536</c:v>
                </c:pt>
                <c:pt idx="48">
                  <c:v>0.43481832902493661</c:v>
                </c:pt>
                <c:pt idx="49">
                  <c:v>0.43471521253416084</c:v>
                </c:pt>
                <c:pt idx="50">
                  <c:v>0.43461184772174999</c:v>
                </c:pt>
                <c:pt idx="51">
                  <c:v>0.4345082660736273</c:v>
                </c:pt>
                <c:pt idx="52">
                  <c:v>0.43440449914176615</c:v>
                </c:pt>
                <c:pt idx="53">
                  <c:v>0.43430057853457926</c:v>
                </c:pt>
                <c:pt idx="54">
                  <c:v>0.43419653590729024</c:v>
                </c:pt>
                <c:pt idx="55">
                  <c:v>0.43409240295229123</c:v>
                </c:pt>
                <c:pt idx="56">
                  <c:v>0.43398821138948912</c:v>
                </c:pt>
                <c:pt idx="57">
                  <c:v>0.43388399295664326</c:v>
                </c:pt>
                <c:pt idx="58">
                  <c:v>0.43377977939969781</c:v>
                </c:pt>
                <c:pt idx="59">
                  <c:v>0.43367560246311188</c:v>
                </c:pt>
                <c:pt idx="60">
                  <c:v>0.43357149388018945</c:v>
                </c:pt>
                <c:pt idx="61">
                  <c:v>0.4334674853634134</c:v>
                </c:pt>
                <c:pt idx="62">
                  <c:v>0.43336360859478557</c:v>
                </c:pt>
                <c:pt idx="63">
                  <c:v>0.43325989521617586</c:v>
                </c:pt>
                <c:pt idx="64">
                  <c:v>0.43315637681968416</c:v>
                </c:pt>
                <c:pt idx="65">
                  <c:v>0.43305308493801686</c:v>
                </c:pt>
                <c:pt idx="66">
                  <c:v>0.43295005103488166</c:v>
                </c:pt>
                <c:pt idx="67">
                  <c:v>0.43284730649540354</c:v>
                </c:pt>
                <c:pt idx="68">
                  <c:v>0.43274488261656469</c:v>
                </c:pt>
                <c:pt idx="69">
                  <c:v>0.43264281059767062</c:v>
                </c:pt>
                <c:pt idx="70">
                  <c:v>0.43254112153084723</c:v>
                </c:pt>
                <c:pt idx="71">
                  <c:v>0.43243984639156924</c:v>
                </c:pt>
                <c:pt idx="72">
                  <c:v>0.43233901602922525</c:v>
                </c:pt>
                <c:pt idx="73">
                  <c:v>0.43223866115772036</c:v>
                </c:pt>
                <c:pt idx="74">
                  <c:v>0.43213881234612056</c:v>
                </c:pt>
                <c:pt idx="75">
                  <c:v>0.4320395000093411</c:v>
                </c:pt>
                <c:pt idx="76">
                  <c:v>0.43194075439888191</c:v>
                </c:pt>
                <c:pt idx="77">
                  <c:v>0.43184260559361243</c:v>
                </c:pt>
                <c:pt idx="78">
                  <c:v>0.43174508349060958</c:v>
                </c:pt>
                <c:pt idx="79">
                  <c:v>0.43164821779605062</c:v>
                </c:pt>
                <c:pt idx="80">
                  <c:v>0.43155203801616454</c:v>
                </c:pt>
                <c:pt idx="81">
                  <c:v>0.4314565734482439</c:v>
                </c:pt>
                <c:pt idx="82">
                  <c:v>0.43136185317172093</c:v>
                </c:pt>
                <c:pt idx="83">
                  <c:v>0.43126790603930948</c:v>
                </c:pt>
                <c:pt idx="84">
                  <c:v>0.43117476066821608</c:v>
                </c:pt>
                <c:pt idx="85">
                  <c:v>0.4310824454314231</c:v>
                </c:pt>
                <c:pt idx="86">
                  <c:v>0.43099098844904604</c:v>
                </c:pt>
                <c:pt idx="87">
                  <c:v>0.4309004175797676</c:v>
                </c:pt>
                <c:pt idx="88">
                  <c:v>0.43081076041235195</c:v>
                </c:pt>
                <c:pt idx="89">
                  <c:v>0.43072204425724087</c:v>
                </c:pt>
                <c:pt idx="90">
                  <c:v>0.43063429613823456</c:v>
                </c:pt>
                <c:pt idx="91">
                  <c:v>0.43054754278426016</c:v>
                </c:pt>
                <c:pt idx="92">
                  <c:v>0.43046181062122962</c:v>
                </c:pt>
                <c:pt idx="93">
                  <c:v>0.43037712576399034</c:v>
                </c:pt>
                <c:pt idx="94">
                  <c:v>0.43029351400837024</c:v>
                </c:pt>
                <c:pt idx="95">
                  <c:v>0.43021100082331992</c:v>
                </c:pt>
                <c:pt idx="96">
                  <c:v>0.43012961134315503</c:v>
                </c:pt>
                <c:pt idx="97">
                  <c:v>0.4300493703598996</c:v>
                </c:pt>
                <c:pt idx="98">
                  <c:v>0.42997030231573435</c:v>
                </c:pt>
                <c:pt idx="99">
                  <c:v>0.42989243129555166</c:v>
                </c:pt>
                <c:pt idx="100">
                  <c:v>0.42981578101961848</c:v>
                </c:pt>
                <c:pt idx="101">
                  <c:v>0.42974037483635141</c:v>
                </c:pt>
                <c:pt idx="102">
                  <c:v>0.42966623571520446</c:v>
                </c:pt>
                <c:pt idx="103">
                  <c:v>0.42959338623967203</c:v>
                </c:pt>
                <c:pt idx="104">
                  <c:v>0.42952184860041004</c:v>
                </c:pt>
                <c:pt idx="105">
                  <c:v>0.42945164458847651</c:v>
                </c:pt>
                <c:pt idx="106">
                  <c:v>0.42938279558869358</c:v>
                </c:pt>
                <c:pt idx="107">
                  <c:v>0.42931532257313337</c:v>
                </c:pt>
                <c:pt idx="108">
                  <c:v>0.4292492460947302</c:v>
                </c:pt>
                <c:pt idx="109">
                  <c:v>0.42918458628101946</c:v>
                </c:pt>
                <c:pt idx="110">
                  <c:v>0.42912136282800672</c:v>
                </c:pt>
                <c:pt idx="111">
                  <c:v>0.42905959499416829</c:v>
                </c:pt>
                <c:pt idx="112">
                  <c:v>0.42899930159458471</c:v>
                </c:pt>
                <c:pt idx="113">
                  <c:v>0.42894050099520953</c:v>
                </c:pt>
                <c:pt idx="114">
                  <c:v>0.42888321110727495</c:v>
                </c:pt>
                <c:pt idx="115">
                  <c:v>0.42882744938183581</c:v>
                </c:pt>
                <c:pt idx="116">
                  <c:v>0.4287732328044539</c:v>
                </c:pt>
                <c:pt idx="117">
                  <c:v>0.42872057789002382</c:v>
                </c:pt>
                <c:pt idx="118">
                  <c:v>0.42866950067774268</c:v>
                </c:pt>
                <c:pt idx="119">
                  <c:v>0.42862001672622402</c:v>
                </c:pt>
                <c:pt idx="120">
                  <c:v>0.42857214110875896</c:v>
                </c:pt>
                <c:pt idx="121">
                  <c:v>0.42852588840872424</c:v>
                </c:pt>
                <c:pt idx="122">
                  <c:v>0.42848127271514047</c:v>
                </c:pt>
                <c:pt idx="123">
                  <c:v>0.42843830761838003</c:v>
                </c:pt>
                <c:pt idx="124">
                  <c:v>0.42839700620602761</c:v>
                </c:pt>
                <c:pt idx="125">
                  <c:v>0.42835738105889354</c:v>
                </c:pt>
                <c:pt idx="126">
                  <c:v>0.42831944424718149</c:v>
                </c:pt>
                <c:pt idx="127">
                  <c:v>0.42828320732681185</c:v>
                </c:pt>
                <c:pt idx="128">
                  <c:v>0.42824868133590149</c:v>
                </c:pt>
                <c:pt idx="129">
                  <c:v>0.42821587679140183</c:v>
                </c:pt>
                <c:pt idx="130">
                  <c:v>0.42818480368589479</c:v>
                </c:pt>
                <c:pt idx="131">
                  <c:v>0.42815547148454941</c:v>
                </c:pt>
                <c:pt idx="132">
                  <c:v>0.42812788912223831</c:v>
                </c:pt>
                <c:pt idx="133">
                  <c:v>0.42810206500081632</c:v>
                </c:pt>
                <c:pt idx="134">
                  <c:v>0.4280780069865609</c:v>
                </c:pt>
                <c:pt idx="135">
                  <c:v>0.42805572240777628</c:v>
                </c:pt>
                <c:pt idx="136">
                  <c:v>0.42803521805256106</c:v>
                </c:pt>
                <c:pt idx="137">
                  <c:v>0.42801650016674042</c:v>
                </c:pt>
                <c:pt idx="138">
                  <c:v>0.42799957445196379</c:v>
                </c:pt>
                <c:pt idx="139">
                  <c:v>0.42798444606396774</c:v>
                </c:pt>
                <c:pt idx="140">
                  <c:v>0.42797111961100587</c:v>
                </c:pt>
                <c:pt idx="141">
                  <c:v>0.42795959915244486</c:v>
                </c:pt>
                <c:pt idx="142">
                  <c:v>0.42794988819752799</c:v>
                </c:pt>
                <c:pt idx="143">
                  <c:v>0.42794198970430614</c:v>
                </c:pt>
                <c:pt idx="144">
                  <c:v>0.42793590607873694</c:v>
                </c:pt>
                <c:pt idx="145">
                  <c:v>0.42793163917395161</c:v>
                </c:pt>
                <c:pt idx="146">
                  <c:v>0.42792919028969068</c:v>
                </c:pt>
                <c:pt idx="147">
                  <c:v>0.42792856017190806</c:v>
                </c:pt>
                <c:pt idx="148">
                  <c:v>0.42792974901254371</c:v>
                </c:pt>
                <c:pt idx="149">
                  <c:v>0.42793275644946527</c:v>
                </c:pt>
                <c:pt idx="150">
                  <c:v>0.42793758156657835</c:v>
                </c:pt>
                <c:pt idx="151">
                  <c:v>0.42794422289410544</c:v>
                </c:pt>
                <c:pt idx="152">
                  <c:v>0.42795267840903389</c:v>
                </c:pt>
                <c:pt idx="153">
                  <c:v>0.42796294553573194</c:v>
                </c:pt>
                <c:pt idx="154">
                  <c:v>0.42797502114673341</c:v>
                </c:pt>
                <c:pt idx="155">
                  <c:v>0.42798890156369007</c:v>
                </c:pt>
                <c:pt idx="156">
                  <c:v>0.42800458255849255</c:v>
                </c:pt>
                <c:pt idx="157">
                  <c:v>0.42802205935455795</c:v>
                </c:pt>
                <c:pt idx="158">
                  <c:v>0.42804132662828476</c:v>
                </c:pt>
                <c:pt idx="159">
                  <c:v>0.42806237851067491</c:v>
                </c:pt>
                <c:pt idx="160">
                  <c:v>0.42808520858912097</c:v>
                </c:pt>
                <c:pt idx="161">
                  <c:v>0.42810980990935993</c:v>
                </c:pt>
                <c:pt idx="162">
                  <c:v>0.42813617497759138</c:v>
                </c:pt>
                <c:pt idx="163">
                  <c:v>0.42816429576276005</c:v>
                </c:pt>
                <c:pt idx="164">
                  <c:v>0.42819416369900237</c:v>
                </c:pt>
                <c:pt idx="165">
                  <c:v>0.42822576968825571</c:v>
                </c:pt>
                <c:pt idx="166">
                  <c:v>0.42825910410302948</c:v>
                </c:pt>
                <c:pt idx="167">
                  <c:v>0.42829415678933802</c:v>
                </c:pt>
                <c:pt idx="168">
                  <c:v>0.42833091706979359</c:v>
                </c:pt>
                <c:pt idx="169">
                  <c:v>0.42836937374685863</c:v>
                </c:pt>
                <c:pt idx="170">
                  <c:v>0.42840951510625674</c:v>
                </c:pt>
                <c:pt idx="171">
                  <c:v>0.428451328920541</c:v>
                </c:pt>
                <c:pt idx="172">
                  <c:v>0.42849480245281857</c:v>
                </c:pt>
                <c:pt idx="173">
                  <c:v>0.42853992246063027</c:v>
                </c:pt>
                <c:pt idx="174">
                  <c:v>0.42858667519998472</c:v>
                </c:pt>
                <c:pt idx="175">
                  <c:v>0.42863504642954459</c:v>
                </c:pt>
                <c:pt idx="176">
                  <c:v>0.42868502141496478</c:v>
                </c:pt>
                <c:pt idx="177">
                  <c:v>0.42873658493338063</c:v>
                </c:pt>
                <c:pt idx="178">
                  <c:v>0.42878972127804482</c:v>
                </c:pt>
                <c:pt idx="179">
                  <c:v>0.42884441426311215</c:v>
                </c:pt>
                <c:pt idx="180">
                  <c:v>0.42890064722856952</c:v>
                </c:pt>
                <c:pt idx="181">
                  <c:v>0.42895840304531085</c:v>
                </c:pt>
                <c:pt idx="182">
                  <c:v>0.42901766412035491</c:v>
                </c:pt>
                <c:pt idx="183">
                  <c:v>0.42907841240220412</c:v>
                </c:pt>
                <c:pt idx="184">
                  <c:v>0.42914062938634345</c:v>
                </c:pt>
                <c:pt idx="185">
                  <c:v>0.42920429612087674</c:v>
                </c:pt>
                <c:pt idx="186">
                  <c:v>0.4292693932122999</c:v>
                </c:pt>
                <c:pt idx="187">
                  <c:v>0.42933590083140827</c:v>
                </c:pt>
                <c:pt idx="188">
                  <c:v>0.42940379871933687</c:v>
                </c:pt>
                <c:pt idx="189">
                  <c:v>0.42947306619373121</c:v>
                </c:pt>
                <c:pt idx="190">
                  <c:v>0.42954368215504762</c:v>
                </c:pt>
                <c:pt idx="191">
                  <c:v>0.42961562509298018</c:v>
                </c:pt>
                <c:pt idx="192">
                  <c:v>0.42968887309301307</c:v>
                </c:pt>
                <c:pt idx="193">
                  <c:v>0.42976340384309597</c:v>
                </c:pt>
                <c:pt idx="194">
                  <c:v>0.4298391946404404</c:v>
                </c:pt>
                <c:pt idx="195">
                  <c:v>0.42991622239843519</c:v>
                </c:pt>
                <c:pt idx="196">
                  <c:v>0.42999446365367916</c:v>
                </c:pt>
                <c:pt idx="197">
                  <c:v>0.430073894573128</c:v>
                </c:pt>
                <c:pt idx="198">
                  <c:v>0.43015449096135422</c:v>
                </c:pt>
                <c:pt idx="199">
                  <c:v>0.43023622826791713</c:v>
                </c:pt>
                <c:pt idx="200">
                  <c:v>0.43031908159484139</c:v>
                </c:pt>
                <c:pt idx="201">
                  <c:v>0.43040302570420097</c:v>
                </c:pt>
                <c:pt idx="202">
                  <c:v>0.43048803502580707</c:v>
                </c:pt>
                <c:pt idx="203">
                  <c:v>0.43057408366499672</c:v>
                </c:pt>
                <c:pt idx="204">
                  <c:v>0.43066114541052086</c:v>
                </c:pt>
                <c:pt idx="205">
                  <c:v>0.43074919374252846</c:v>
                </c:pt>
                <c:pt idx="206">
                  <c:v>0.43083820184064464</c:v>
                </c:pt>
                <c:pt idx="207">
                  <c:v>0.43092814259214046</c:v>
                </c:pt>
                <c:pt idx="208">
                  <c:v>0.43101898860019178</c:v>
                </c:pt>
                <c:pt idx="209">
                  <c:v>0.43111071219222441</c:v>
                </c:pt>
                <c:pt idx="210">
                  <c:v>0.43120328542834374</c:v>
                </c:pt>
                <c:pt idx="211">
                  <c:v>0.43129668010984529</c:v>
                </c:pt>
                <c:pt idx="212">
                  <c:v>0.43139086778780428</c:v>
                </c:pt>
                <c:pt idx="213">
                  <c:v>0.43148581977174161</c:v>
                </c:pt>
                <c:pt idx="214">
                  <c:v>0.43158150713836319</c:v>
                </c:pt>
                <c:pt idx="215">
                  <c:v>0.43167790074037016</c:v>
                </c:pt>
                <c:pt idx="216">
                  <c:v>0.43177497121533753</c:v>
                </c:pt>
                <c:pt idx="217">
                  <c:v>0.43187268899465836</c:v>
                </c:pt>
                <c:pt idx="218">
                  <c:v>0.43197102431255041</c:v>
                </c:pt>
                <c:pt idx="219">
                  <c:v>0.43206994721512326</c:v>
                </c:pt>
                <c:pt idx="220">
                  <c:v>0.4321694275695025</c:v>
                </c:pt>
                <c:pt idx="221">
                  <c:v>0.43226943507300852</c:v>
                </c:pt>
                <c:pt idx="222">
                  <c:v>0.43236993926238693</c:v>
                </c:pt>
                <c:pt idx="223">
                  <c:v>0.43247090952308803</c:v>
                </c:pt>
                <c:pt idx="224">
                  <c:v>0.43257231509859234</c:v>
                </c:pt>
                <c:pt idx="225">
                  <c:v>0.43267412509977915</c:v>
                </c:pt>
                <c:pt idx="226">
                  <c:v>0.43277630851433591</c:v>
                </c:pt>
                <c:pt idx="227">
                  <c:v>0.43287883421620466</c:v>
                </c:pt>
                <c:pt idx="228">
                  <c:v>0.4329816709750634</c:v>
                </c:pt>
                <c:pt idx="229">
                  <c:v>0.43308478746583917</c:v>
                </c:pt>
                <c:pt idx="230">
                  <c:v>0.43318815227825003</c:v>
                </c:pt>
                <c:pt idx="231">
                  <c:v>0.43329173392637271</c:v>
                </c:pt>
                <c:pt idx="232">
                  <c:v>0.43339550085823386</c:v>
                </c:pt>
                <c:pt idx="233">
                  <c:v>0.43349942146542075</c:v>
                </c:pt>
                <c:pt idx="234">
                  <c:v>0.43360346409270978</c:v>
                </c:pt>
                <c:pt idx="235">
                  <c:v>0.43370759704770878</c:v>
                </c:pt>
                <c:pt idx="236">
                  <c:v>0.4338117886105109</c:v>
                </c:pt>
                <c:pt idx="237">
                  <c:v>0.43391600704335676</c:v>
                </c:pt>
                <c:pt idx="238">
                  <c:v>0.43402022060030221</c:v>
                </c:pt>
                <c:pt idx="239">
                  <c:v>0.43412439753688814</c:v>
                </c:pt>
                <c:pt idx="240">
                  <c:v>0.43422850611981056</c:v>
                </c:pt>
                <c:pt idx="241">
                  <c:v>0.43433251463658662</c:v>
                </c:pt>
                <c:pt idx="242">
                  <c:v>0.43443639140521445</c:v>
                </c:pt>
                <c:pt idx="243">
                  <c:v>0.43454010478382415</c:v>
                </c:pt>
                <c:pt idx="244">
                  <c:v>0.43464362318031585</c:v>
                </c:pt>
                <c:pt idx="245">
                  <c:v>0.43474691506198315</c:v>
                </c:pt>
                <c:pt idx="246">
                  <c:v>0.43484994896511836</c:v>
                </c:pt>
                <c:pt idx="247">
                  <c:v>0.43495269350459648</c:v>
                </c:pt>
                <c:pt idx="248">
                  <c:v>0.43505511738343533</c:v>
                </c:pt>
                <c:pt idx="249">
                  <c:v>0.43515718940232939</c:v>
                </c:pt>
                <c:pt idx="250">
                  <c:v>0.43525887846915279</c:v>
                </c:pt>
                <c:pt idx="251">
                  <c:v>0.43536015360843078</c:v>
                </c:pt>
                <c:pt idx="252">
                  <c:v>0.43546098397077476</c:v>
                </c:pt>
                <c:pt idx="253">
                  <c:v>0.43556133884227966</c:v>
                </c:pt>
                <c:pt idx="254">
                  <c:v>0.43566118765387946</c:v>
                </c:pt>
                <c:pt idx="255">
                  <c:v>0.43576049999065891</c:v>
                </c:pt>
                <c:pt idx="256">
                  <c:v>0.43585924560111811</c:v>
                </c:pt>
                <c:pt idx="257">
                  <c:v>0.43595739440638759</c:v>
                </c:pt>
                <c:pt idx="258">
                  <c:v>0.43605491650939043</c:v>
                </c:pt>
                <c:pt idx="259">
                  <c:v>0.4361517822039494</c:v>
                </c:pt>
                <c:pt idx="260">
                  <c:v>0.43624796198383547</c:v>
                </c:pt>
                <c:pt idx="261">
                  <c:v>0.43634342655175612</c:v>
                </c:pt>
                <c:pt idx="262">
                  <c:v>0.43643814682827908</c:v>
                </c:pt>
                <c:pt idx="263">
                  <c:v>0.43653209396069054</c:v>
                </c:pt>
                <c:pt idx="264">
                  <c:v>0.43662523933178393</c:v>
                </c:pt>
                <c:pt idx="265">
                  <c:v>0.43671755456857692</c:v>
                </c:pt>
                <c:pt idx="266">
                  <c:v>0.43680901155095397</c:v>
                </c:pt>
                <c:pt idx="267">
                  <c:v>0.43689958242023241</c:v>
                </c:pt>
                <c:pt idx="268">
                  <c:v>0.43698923958764807</c:v>
                </c:pt>
                <c:pt idx="269">
                  <c:v>0.43707795574275915</c:v>
                </c:pt>
                <c:pt idx="270">
                  <c:v>0.43716570386176545</c:v>
                </c:pt>
                <c:pt idx="271">
                  <c:v>0.43725245721573985</c:v>
                </c:pt>
                <c:pt idx="272">
                  <c:v>0.43733818937877039</c:v>
                </c:pt>
                <c:pt idx="273">
                  <c:v>0.43742287423600967</c:v>
                </c:pt>
                <c:pt idx="274">
                  <c:v>0.43750648599162978</c:v>
                </c:pt>
                <c:pt idx="275">
                  <c:v>0.43758899917668009</c:v>
                </c:pt>
                <c:pt idx="276">
                  <c:v>0.43767038865684499</c:v>
                </c:pt>
                <c:pt idx="277">
                  <c:v>0.43775062964010042</c:v>
                </c:pt>
                <c:pt idx="278">
                  <c:v>0.43782969768426566</c:v>
                </c:pt>
                <c:pt idx="279">
                  <c:v>0.43790756870444836</c:v>
                </c:pt>
                <c:pt idx="280">
                  <c:v>0.43798421898038153</c:v>
                </c:pt>
                <c:pt idx="281">
                  <c:v>0.4380596251636486</c:v>
                </c:pt>
                <c:pt idx="282">
                  <c:v>0.43813376428479556</c:v>
                </c:pt>
                <c:pt idx="283">
                  <c:v>0.43820661376032799</c:v>
                </c:pt>
                <c:pt idx="284">
                  <c:v>0.43827815139958998</c:v>
                </c:pt>
                <c:pt idx="285">
                  <c:v>0.4383483554115235</c:v>
                </c:pt>
                <c:pt idx="286">
                  <c:v>0.43841720441130649</c:v>
                </c:pt>
                <c:pt idx="287">
                  <c:v>0.43848467742686664</c:v>
                </c:pt>
                <c:pt idx="288">
                  <c:v>0.43855075390526982</c:v>
                </c:pt>
                <c:pt idx="289">
                  <c:v>0.43861541371898055</c:v>
                </c:pt>
                <c:pt idx="290">
                  <c:v>0.43867863717199329</c:v>
                </c:pt>
                <c:pt idx="291">
                  <c:v>0.43874040500583172</c:v>
                </c:pt>
                <c:pt idx="292">
                  <c:v>0.4388006984054153</c:v>
                </c:pt>
                <c:pt idx="293">
                  <c:v>0.43885949900479049</c:v>
                </c:pt>
                <c:pt idx="294">
                  <c:v>0.43891678889272506</c:v>
                </c:pt>
                <c:pt idx="295">
                  <c:v>0.4389725506181642</c:v>
                </c:pt>
                <c:pt idx="296">
                  <c:v>0.43902676719554612</c:v>
                </c:pt>
                <c:pt idx="297">
                  <c:v>0.43907942210997619</c:v>
                </c:pt>
                <c:pt idx="298">
                  <c:v>0.43913049932225734</c:v>
                </c:pt>
                <c:pt idx="299">
                  <c:v>0.439179983273776</c:v>
                </c:pt>
                <c:pt idx="300">
                  <c:v>0.43922785889124111</c:v>
                </c:pt>
                <c:pt idx="301">
                  <c:v>0.43927411159127577</c:v>
                </c:pt>
                <c:pt idx="302">
                  <c:v>0.43931872728485954</c:v>
                </c:pt>
                <c:pt idx="303">
                  <c:v>0.43936169238161998</c:v>
                </c:pt>
                <c:pt idx="304">
                  <c:v>0.43940299379397241</c:v>
                </c:pt>
                <c:pt idx="305">
                  <c:v>0.43944261894110648</c:v>
                </c:pt>
                <c:pt idx="306">
                  <c:v>0.43948055575281852</c:v>
                </c:pt>
                <c:pt idx="307">
                  <c:v>0.43951679267318816</c:v>
                </c:pt>
                <c:pt idx="308">
                  <c:v>0.43955131866409852</c:v>
                </c:pt>
                <c:pt idx="309">
                  <c:v>0.43958412320859819</c:v>
                </c:pt>
                <c:pt idx="310">
                  <c:v>0.43961519631410523</c:v>
                </c:pt>
                <c:pt idx="311">
                  <c:v>0.43964452851545061</c:v>
                </c:pt>
                <c:pt idx="312">
                  <c:v>0.4396721108777617</c:v>
                </c:pt>
                <c:pt idx="313">
                  <c:v>0.43969793499918369</c:v>
                </c:pt>
                <c:pt idx="314">
                  <c:v>0.43972199301343912</c:v>
                </c:pt>
                <c:pt idx="315">
                  <c:v>0.43974427759222373</c:v>
                </c:pt>
                <c:pt idx="316">
                  <c:v>0.43976478194743895</c:v>
                </c:pt>
                <c:pt idx="317">
                  <c:v>0.43978349983325959</c:v>
                </c:pt>
                <c:pt idx="318">
                  <c:v>0.43980042554803622</c:v>
                </c:pt>
                <c:pt idx="319">
                  <c:v>0.43981555393603228</c:v>
                </c:pt>
                <c:pt idx="320">
                  <c:v>0.43982888038899415</c:v>
                </c:pt>
                <c:pt idx="321">
                  <c:v>0.43984040084755516</c:v>
                </c:pt>
                <c:pt idx="322">
                  <c:v>0.43985011180247202</c:v>
                </c:pt>
                <c:pt idx="323">
                  <c:v>0.43985801029569388</c:v>
                </c:pt>
                <c:pt idx="324">
                  <c:v>0.43986409392126308</c:v>
                </c:pt>
                <c:pt idx="325">
                  <c:v>0.43986836082604841</c:v>
                </c:pt>
                <c:pt idx="326">
                  <c:v>0.43987080971030934</c:v>
                </c:pt>
                <c:pt idx="327">
                  <c:v>0.43987143982809196</c:v>
                </c:pt>
                <c:pt idx="328">
                  <c:v>0.4398702509874563</c:v>
                </c:pt>
                <c:pt idx="329">
                  <c:v>0.43986724355053475</c:v>
                </c:pt>
                <c:pt idx="330">
                  <c:v>0.43986241843342166</c:v>
                </c:pt>
                <c:pt idx="331">
                  <c:v>0.43985577710589457</c:v>
                </c:pt>
                <c:pt idx="332">
                  <c:v>0.43984732159096612</c:v>
                </c:pt>
                <c:pt idx="333">
                  <c:v>0.43983705446426807</c:v>
                </c:pt>
                <c:pt idx="334">
                  <c:v>0.4398249788532666</c:v>
                </c:pt>
                <c:pt idx="335">
                  <c:v>0.43981109843630994</c:v>
                </c:pt>
                <c:pt idx="336">
                  <c:v>0.43979541744150746</c:v>
                </c:pt>
                <c:pt idx="337">
                  <c:v>0.43977794064544207</c:v>
                </c:pt>
                <c:pt idx="338">
                  <c:v>0.43975867337171526</c:v>
                </c:pt>
                <c:pt idx="339">
                  <c:v>0.4397376214893251</c:v>
                </c:pt>
                <c:pt idx="340">
                  <c:v>0.43971479141087905</c:v>
                </c:pt>
                <c:pt idx="341">
                  <c:v>0.43969019009064009</c:v>
                </c:pt>
                <c:pt idx="342">
                  <c:v>0.43966382502240864</c:v>
                </c:pt>
                <c:pt idx="343">
                  <c:v>0.43963570423723997</c:v>
                </c:pt>
                <c:pt idx="344">
                  <c:v>0.43960583630099764</c:v>
                </c:pt>
                <c:pt idx="345">
                  <c:v>0.43957423031174431</c:v>
                </c:pt>
                <c:pt idx="346">
                  <c:v>0.43954089589697054</c:v>
                </c:pt>
                <c:pt idx="347">
                  <c:v>0.439505843210662</c:v>
                </c:pt>
                <c:pt idx="348">
                  <c:v>0.43946908293020642</c:v>
                </c:pt>
                <c:pt idx="349">
                  <c:v>0.43943062625314139</c:v>
                </c:pt>
                <c:pt idx="350">
                  <c:v>0.43939048489374327</c:v>
                </c:pt>
                <c:pt idx="351">
                  <c:v>0.43934867107945902</c:v>
                </c:pt>
                <c:pt idx="352">
                  <c:v>0.43930519754718145</c:v>
                </c:pt>
                <c:pt idx="353">
                  <c:v>0.43926007753936974</c:v>
                </c:pt>
                <c:pt idx="354">
                  <c:v>0.43921332480001529</c:v>
                </c:pt>
                <c:pt idx="355">
                  <c:v>0.43916495357045543</c:v>
                </c:pt>
                <c:pt idx="356">
                  <c:v>0.43911497858503523</c:v>
                </c:pt>
                <c:pt idx="357">
                  <c:v>0.43906341506661944</c:v>
                </c:pt>
                <c:pt idx="358">
                  <c:v>0.43901027872195519</c:v>
                </c:pt>
                <c:pt idx="359">
                  <c:v>0.43895558573688787</c:v>
                </c:pt>
                <c:pt idx="360">
                  <c:v>0.4388993527714305</c:v>
                </c:pt>
              </c:numCache>
            </c:numRef>
          </c:xVal>
          <c:yVal>
            <c:numRef>
              <c:f>IF特性!$K$95:$K$455</c:f>
              <c:numCache>
                <c:formatCode>General</c:formatCode>
                <c:ptCount val="361"/>
                <c:pt idx="0">
                  <c:v>0.40987548289390291</c:v>
                </c:pt>
                <c:pt idx="1">
                  <c:v>0.40991714999905959</c:v>
                </c:pt>
                <c:pt idx="2">
                  <c:v>0.40995677099525607</c:v>
                </c:pt>
                <c:pt idx="3">
                  <c:v>0.40999433381355305</c:v>
                </c:pt>
                <c:pt idx="4">
                  <c:v>0.41002982701195229</c:v>
                </c:pt>
                <c:pt idx="5">
                  <c:v>0.41006323977888165</c:v>
                </c:pt>
                <c:pt idx="6">
                  <c:v>0.41009456193648863</c:v>
                </c:pt>
                <c:pt idx="7">
                  <c:v>0.41012378394374072</c:v>
                </c:pt>
                <c:pt idx="8">
                  <c:v>0.41015089689933126</c:v>
                </c:pt>
                <c:pt idx="9">
                  <c:v>0.41017589254439146</c:v>
                </c:pt>
                <c:pt idx="10">
                  <c:v>0.41019876326500559</c:v>
                </c:pt>
                <c:pt idx="11">
                  <c:v>0.41021950209453073</c:v>
                </c:pt>
                <c:pt idx="12">
                  <c:v>0.41023810271571842</c:v>
                </c:pt>
                <c:pt idx="13">
                  <c:v>0.41025455946263922</c:v>
                </c:pt>
                <c:pt idx="14">
                  <c:v>0.41026886732240869</c:v>
                </c:pt>
                <c:pt idx="15">
                  <c:v>0.41028102193671412</c:v>
                </c:pt>
                <c:pt idx="16">
                  <c:v>0.41029101960314218</c:v>
                </c:pt>
                <c:pt idx="17">
                  <c:v>0.41029885727630688</c:v>
                </c:pt>
                <c:pt idx="18">
                  <c:v>0.41030453256877708</c:v>
                </c:pt>
                <c:pt idx="19">
                  <c:v>0.41030804375180363</c:v>
                </c:pt>
                <c:pt idx="20">
                  <c:v>0.41030938975584624</c:v>
                </c:pt>
                <c:pt idx="21">
                  <c:v>0.410308570170899</c:v>
                </c:pt>
                <c:pt idx="22">
                  <c:v>0.41030558524661548</c:v>
                </c:pt>
                <c:pt idx="23">
                  <c:v>0.41030043589223247</c:v>
                </c:pt>
                <c:pt idx="24">
                  <c:v>0.41029312367629317</c:v>
                </c:pt>
                <c:pt idx="25">
                  <c:v>0.41028365082616952</c:v>
                </c:pt>
                <c:pt idx="26">
                  <c:v>0.41027202022738329</c:v>
                </c:pt>
                <c:pt idx="27">
                  <c:v>0.4102582354227276</c:v>
                </c:pt>
                <c:pt idx="28">
                  <c:v>0.41024230061118755</c:v>
                </c:pt>
                <c:pt idx="29">
                  <c:v>0.41022422064666098</c:v>
                </c:pt>
                <c:pt idx="30">
                  <c:v>0.4102040010364803</c:v>
                </c:pt>
                <c:pt idx="31">
                  <c:v>0.41018164793973461</c:v>
                </c:pt>
                <c:pt idx="32">
                  <c:v>0.41015716816539377</c:v>
                </c:pt>
                <c:pt idx="33">
                  <c:v>0.4101305691702341</c:v>
                </c:pt>
                <c:pt idx="34">
                  <c:v>0.41010185905656726</c:v>
                </c:pt>
                <c:pt idx="35">
                  <c:v>0.410071046569772</c:v>
                </c:pt>
                <c:pt idx="36">
                  <c:v>0.41003814109563025</c:v>
                </c:pt>
                <c:pt idx="37">
                  <c:v>0.41000315265746823</c:v>
                </c:pt>
                <c:pt idx="38">
                  <c:v>0.40996609191310313</c:v>
                </c:pt>
                <c:pt idx="39">
                  <c:v>0.40992697015159668</c:v>
                </c:pt>
                <c:pt idx="40">
                  <c:v>0.40988579928981639</c:v>
                </c:pt>
                <c:pt idx="41">
                  <c:v>0.40984259186880567</c:v>
                </c:pt>
                <c:pt idx="42">
                  <c:v>0.4097973610499635</c:v>
                </c:pt>
                <c:pt idx="43">
                  <c:v>0.40975012061103538</c:v>
                </c:pt>
                <c:pt idx="44">
                  <c:v>0.40970088494191675</c:v>
                </c:pt>
                <c:pt idx="45">
                  <c:v>0.40964966904026934</c:v>
                </c:pt>
                <c:pt idx="46">
                  <c:v>0.40959648850695285</c:v>
                </c:pt>
                <c:pt idx="47">
                  <c:v>0.40954135954127302</c:v>
                </c:pt>
                <c:pt idx="48">
                  <c:v>0.40948429893604676</c:v>
                </c:pt>
                <c:pt idx="49">
                  <c:v>0.40942532407248722</c:v>
                </c:pt>
                <c:pt idx="50">
                  <c:v>0.40936445291490914</c:v>
                </c:pt>
                <c:pt idx="51">
                  <c:v>0.40930170400525678</c:v>
                </c:pt>
                <c:pt idx="52">
                  <c:v>0.40923709645745587</c:v>
                </c:pt>
                <c:pt idx="53">
                  <c:v>0.40917064995159136</c:v>
                </c:pt>
                <c:pt idx="54">
                  <c:v>0.4091023847279126</c:v>
                </c:pt>
                <c:pt idx="55">
                  <c:v>0.40903232158066805</c:v>
                </c:pt>
                <c:pt idx="56">
                  <c:v>0.40896048185177108</c:v>
                </c:pt>
                <c:pt idx="57">
                  <c:v>0.40888688742429896</c:v>
                </c:pt>
                <c:pt idx="58">
                  <c:v>0.40881156071582736</c:v>
                </c:pt>
                <c:pt idx="59">
                  <c:v>0.40873452467160126</c:v>
                </c:pt>
                <c:pt idx="60">
                  <c:v>0.40865580275754604</c:v>
                </c:pt>
                <c:pt idx="61">
                  <c:v>0.40857541895311933</c:v>
                </c:pt>
                <c:pt idx="62">
                  <c:v>0.40849339774400667</c:v>
                </c:pt>
                <c:pt idx="63">
                  <c:v>0.4084097641146629</c:v>
                </c:pt>
                <c:pt idx="64">
                  <c:v>0.40832454354070163</c:v>
                </c:pt>
                <c:pt idx="65">
                  <c:v>0.40823776198113532</c:v>
                </c:pt>
                <c:pt idx="66">
                  <c:v>0.4081494458704677</c:v>
                </c:pt>
                <c:pt idx="67">
                  <c:v>0.40805962211064151</c:v>
                </c:pt>
                <c:pt idx="68">
                  <c:v>0.40796831806284423</c:v>
                </c:pt>
                <c:pt idx="69">
                  <c:v>0.40787556153917326</c:v>
                </c:pt>
                <c:pt idx="70">
                  <c:v>0.40778138079416432</c:v>
                </c:pt>
                <c:pt idx="71">
                  <c:v>0.40768580451618464</c:v>
                </c:pt>
                <c:pt idx="72">
                  <c:v>0.4075888618186943</c:v>
                </c:pt>
                <c:pt idx="73">
                  <c:v>0.40749058223137818</c:v>
                </c:pt>
                <c:pt idx="74">
                  <c:v>0.40739099569115056</c:v>
                </c:pt>
                <c:pt idx="75">
                  <c:v>0.40729013253303636</c:v>
                </c:pt>
                <c:pt idx="76">
                  <c:v>0.40718802348093058</c:v>
                </c:pt>
                <c:pt idx="77">
                  <c:v>0.40708469963823962</c:v>
                </c:pt>
                <c:pt idx="78">
                  <c:v>0.406980192478407</c:v>
                </c:pt>
                <c:pt idx="79">
                  <c:v>0.40687453383532585</c:v>
                </c:pt>
                <c:pt idx="80">
                  <c:v>0.40676775589364245</c:v>
                </c:pt>
                <c:pt idx="81">
                  <c:v>0.40665989117895224</c:v>
                </c:pt>
                <c:pt idx="82">
                  <c:v>0.40655097254789219</c:v>
                </c:pt>
                <c:pt idx="83">
                  <c:v>0.40644103317813246</c:v>
                </c:pt>
                <c:pt idx="84">
                  <c:v>0.40633010655827007</c:v>
                </c:pt>
                <c:pt idx="85">
                  <c:v>0.40621822647762801</c:v>
                </c:pt>
                <c:pt idx="86">
                  <c:v>0.40610542701596264</c:v>
                </c:pt>
                <c:pt idx="87">
                  <c:v>0.40599174253308273</c:v>
                </c:pt>
                <c:pt idx="88">
                  <c:v>0.40587720765838303</c:v>
                </c:pt>
                <c:pt idx="89">
                  <c:v>0.40576185728029585</c:v>
                </c:pt>
                <c:pt idx="90">
                  <c:v>0.40564572653566383</c:v>
                </c:pt>
                <c:pt idx="91">
                  <c:v>0.40552885079903678</c:v>
                </c:pt>
                <c:pt idx="92">
                  <c:v>0.40541126567189628</c:v>
                </c:pt>
                <c:pt idx="93">
                  <c:v>0.40529300697181109</c:v>
                </c:pt>
                <c:pt idx="94">
                  <c:v>0.40517411072152687</c:v>
                </c:pt>
                <c:pt idx="95">
                  <c:v>0.40505461313799324</c:v>
                </c:pt>
                <c:pt idx="96">
                  <c:v>0.40493455062133171</c:v>
                </c:pt>
                <c:pt idx="97">
                  <c:v>0.40481395974374795</c:v>
                </c:pt>
                <c:pt idx="98">
                  <c:v>0.40469287723839154</c:v>
                </c:pt>
                <c:pt idx="99">
                  <c:v>0.40457133998816641</c:v>
                </c:pt>
                <c:pt idx="100">
                  <c:v>0.40444938501449645</c:v>
                </c:pt>
                <c:pt idx="101">
                  <c:v>0.40432704946604797</c:v>
                </c:pt>
                <c:pt idx="102">
                  <c:v>0.40420437060741421</c:v>
                </c:pt>
                <c:pt idx="103">
                  <c:v>0.40408138580776387</c:v>
                </c:pt>
                <c:pt idx="104">
                  <c:v>0.40395813252945828</c:v>
                </c:pt>
                <c:pt idx="105">
                  <c:v>0.40383464831664007</c:v>
                </c:pt>
                <c:pt idx="106">
                  <c:v>0.40371097078379659</c:v>
                </c:pt>
                <c:pt idx="107">
                  <c:v>0.40358713760430248</c:v>
                </c:pt>
                <c:pt idx="108">
                  <c:v>0.4034631864989438</c:v>
                </c:pt>
                <c:pt idx="109">
                  <c:v>0.40333915522442804</c:v>
                </c:pt>
                <c:pt idx="110">
                  <c:v>0.4032150815618829</c:v>
                </c:pt>
                <c:pt idx="111">
                  <c:v>0.40309100330534786</c:v>
                </c:pt>
                <c:pt idx="112">
                  <c:v>0.40296695825026191</c:v>
                </c:pt>
                <c:pt idx="113">
                  <c:v>0.40284298418195047</c:v>
                </c:pt>
                <c:pt idx="114">
                  <c:v>0.40271911886411571</c:v>
                </c:pt>
                <c:pt idx="115">
                  <c:v>0.40259540002733329</c:v>
                </c:pt>
                <c:pt idx="116">
                  <c:v>0.40247186535755947</c:v>
                </c:pt>
                <c:pt idx="117">
                  <c:v>0.40234855248465135</c:v>
                </c:pt>
                <c:pt idx="118">
                  <c:v>0.40222549897090454</c:v>
                </c:pt>
                <c:pt idx="119">
                  <c:v>0.4021027422996114</c:v>
                </c:pt>
                <c:pt idx="120">
                  <c:v>0.40198031986364319</c:v>
                </c:pt>
                <c:pt idx="121">
                  <c:v>0.40185826895405979</c:v>
                </c:pt>
                <c:pt idx="122">
                  <c:v>0.4017366267487506</c:v>
                </c:pt>
                <c:pt idx="123">
                  <c:v>0.4016154303011098</c:v>
                </c:pt>
                <c:pt idx="124">
                  <c:v>0.40149471652874935</c:v>
                </c:pt>
                <c:pt idx="125">
                  <c:v>0.40137452220225367</c:v>
                </c:pt>
                <c:pt idx="126">
                  <c:v>0.40125488393397901</c:v>
                </c:pt>
                <c:pt idx="127">
                  <c:v>0.40113583816690085</c:v>
                </c:pt>
                <c:pt idx="128">
                  <c:v>0.40101742116351297</c:v>
                </c:pt>
                <c:pt idx="129">
                  <c:v>0.40089966899478185</c:v>
                </c:pt>
                <c:pt idx="130">
                  <c:v>0.40078261752915872</c:v>
                </c:pt>
                <c:pt idx="131">
                  <c:v>0.40066630242165391</c:v>
                </c:pt>
                <c:pt idx="132">
                  <c:v>0.40055075910297594</c:v>
                </c:pt>
                <c:pt idx="133">
                  <c:v>0.40043602276873896</c:v>
                </c:pt>
                <c:pt idx="134">
                  <c:v>0.40032212836874187</c:v>
                </c:pt>
                <c:pt idx="135">
                  <c:v>0.40020911059632225</c:v>
                </c:pt>
                <c:pt idx="136">
                  <c:v>0.4000970038777884</c:v>
                </c:pt>
                <c:pt idx="137">
                  <c:v>0.39998584236193274</c:v>
                </c:pt>
                <c:pt idx="138">
                  <c:v>0.39987565990962992</c:v>
                </c:pt>
                <c:pt idx="139">
                  <c:v>0.39976649008352222</c:v>
                </c:pt>
                <c:pt idx="140">
                  <c:v>0.39965836613779621</c:v>
                </c:pt>
                <c:pt idx="141">
                  <c:v>0.39955132100805324</c:v>
                </c:pt>
                <c:pt idx="142">
                  <c:v>0.39944538730127671</c:v>
                </c:pt>
                <c:pt idx="143">
                  <c:v>0.39934059728589999</c:v>
                </c:pt>
                <c:pt idx="144">
                  <c:v>0.3992369828819769</c:v>
                </c:pt>
                <c:pt idx="145">
                  <c:v>0.39913457565145849</c:v>
                </c:pt>
                <c:pt idx="146">
                  <c:v>0.39903340678857935</c:v>
                </c:pt>
                <c:pt idx="147">
                  <c:v>0.39893350711035513</c:v>
                </c:pt>
                <c:pt idx="148">
                  <c:v>0.39883490704719549</c:v>
                </c:pt>
                <c:pt idx="149">
                  <c:v>0.39873763663363487</c:v>
                </c:pt>
                <c:pt idx="150">
                  <c:v>0.39864172549918359</c:v>
                </c:pt>
                <c:pt idx="151">
                  <c:v>0.39854720285930217</c:v>
                </c:pt>
                <c:pt idx="152">
                  <c:v>0.39845409750650251</c:v>
                </c:pt>
                <c:pt idx="153">
                  <c:v>0.39836243780157699</c:v>
                </c:pt>
                <c:pt idx="154">
                  <c:v>0.39827225166495961</c:v>
                </c:pt>
                <c:pt idx="155">
                  <c:v>0.39818356656822124</c:v>
                </c:pt>
                <c:pt idx="156">
                  <c:v>0.39809640952570147</c:v>
                </c:pt>
                <c:pt idx="157">
                  <c:v>0.39801080708627973</c:v>
                </c:pt>
                <c:pt idx="158">
                  <c:v>0.39792678532528841</c:v>
                </c:pt>
                <c:pt idx="159">
                  <c:v>0.39784436983656973</c:v>
                </c:pt>
                <c:pt idx="160">
                  <c:v>0.39776358572468001</c:v>
                </c:pt>
                <c:pt idx="161">
                  <c:v>0.3976844575972423</c:v>
                </c:pt>
                <c:pt idx="162">
                  <c:v>0.39760700955745071</c:v>
                </c:pt>
                <c:pt idx="163">
                  <c:v>0.39753126519672843</c:v>
                </c:pt>
                <c:pt idx="164">
                  <c:v>0.39745724758754153</c:v>
                </c:pt>
                <c:pt idx="165">
                  <c:v>0.39738497927637073</c:v>
                </c:pt>
                <c:pt idx="166">
                  <c:v>0.39731448227684374</c:v>
                </c:pt>
                <c:pt idx="167">
                  <c:v>0.39724577806302946</c:v>
                </c:pt>
                <c:pt idx="168">
                  <c:v>0.39717888756289704</c:v>
                </c:pt>
                <c:pt idx="169">
                  <c:v>0.39711383115194082</c:v>
                </c:pt>
                <c:pt idx="170">
                  <c:v>0.39705062864697377</c:v>
                </c:pt>
                <c:pt idx="171">
                  <c:v>0.39698929930009108</c:v>
                </c:pt>
                <c:pt idx="172">
                  <c:v>0.39692986179280604</c:v>
                </c:pt>
                <c:pt idx="173">
                  <c:v>0.39687233423035911</c:v>
                </c:pt>
                <c:pt idx="174">
                  <c:v>0.39681673413620311</c:v>
                </c:pt>
                <c:pt idx="175">
                  <c:v>0.39676307844666525</c:v>
                </c:pt>
                <c:pt idx="176">
                  <c:v>0.39671138350578838</c:v>
                </c:pt>
                <c:pt idx="177">
                  <c:v>0.39666166506035233</c:v>
                </c:pt>
                <c:pt idx="178">
                  <c:v>0.39661393825507718</c:v>
                </c:pt>
                <c:pt idx="179">
                  <c:v>0.39656821762801014</c:v>
                </c:pt>
                <c:pt idx="180">
                  <c:v>0.3965245171060971</c:v>
                </c:pt>
                <c:pt idx="181">
                  <c:v>0.39648285000094041</c:v>
                </c:pt>
                <c:pt idx="182">
                  <c:v>0.39644322900474394</c:v>
                </c:pt>
                <c:pt idx="183">
                  <c:v>0.39640566618644696</c:v>
                </c:pt>
                <c:pt idx="184">
                  <c:v>0.39637017298804772</c:v>
                </c:pt>
                <c:pt idx="185">
                  <c:v>0.39633676022111836</c:v>
                </c:pt>
                <c:pt idx="186">
                  <c:v>0.39630543806351137</c:v>
                </c:pt>
                <c:pt idx="187">
                  <c:v>0.39627621605625934</c:v>
                </c:pt>
                <c:pt idx="188">
                  <c:v>0.39624910310066874</c:v>
                </c:pt>
                <c:pt idx="189">
                  <c:v>0.39622410745560854</c:v>
                </c:pt>
                <c:pt idx="190">
                  <c:v>0.39620123673499441</c:v>
                </c:pt>
                <c:pt idx="191">
                  <c:v>0.39618049790546928</c:v>
                </c:pt>
                <c:pt idx="192">
                  <c:v>0.39616189728428158</c:v>
                </c:pt>
                <c:pt idx="193">
                  <c:v>0.39614544053736078</c:v>
                </c:pt>
                <c:pt idx="194">
                  <c:v>0.39613113267759131</c:v>
                </c:pt>
                <c:pt idx="195">
                  <c:v>0.39611897806328589</c:v>
                </c:pt>
                <c:pt idx="196">
                  <c:v>0.39610898039685782</c:v>
                </c:pt>
                <c:pt idx="197">
                  <c:v>0.39610114272369312</c:v>
                </c:pt>
                <c:pt idx="198">
                  <c:v>0.39609546743122293</c:v>
                </c:pt>
                <c:pt idx="199">
                  <c:v>0.39609195624819638</c:v>
                </c:pt>
                <c:pt idx="200">
                  <c:v>0.39609061024415376</c:v>
                </c:pt>
                <c:pt idx="201">
                  <c:v>0.396091429829101</c:v>
                </c:pt>
                <c:pt idx="202">
                  <c:v>0.39609441475338453</c:v>
                </c:pt>
                <c:pt idx="203">
                  <c:v>0.39609956410776753</c:v>
                </c:pt>
                <c:pt idx="204">
                  <c:v>0.39610687632370684</c:v>
                </c:pt>
                <c:pt idx="205">
                  <c:v>0.39611634917383048</c:v>
                </c:pt>
                <c:pt idx="206">
                  <c:v>0.39612797977261671</c:v>
                </c:pt>
                <c:pt idx="207">
                  <c:v>0.3961417645772724</c:v>
                </c:pt>
                <c:pt idx="208">
                  <c:v>0.39615769938881246</c:v>
                </c:pt>
                <c:pt idx="209">
                  <c:v>0.39617577935333903</c:v>
                </c:pt>
                <c:pt idx="210">
                  <c:v>0.3961959989635197</c:v>
                </c:pt>
                <c:pt idx="211">
                  <c:v>0.3962183520602654</c:v>
                </c:pt>
                <c:pt idx="212">
                  <c:v>0.39624283183460624</c:v>
                </c:pt>
                <c:pt idx="213">
                  <c:v>0.3962694308297659</c:v>
                </c:pt>
                <c:pt idx="214">
                  <c:v>0.39629814094343274</c:v>
                </c:pt>
                <c:pt idx="215">
                  <c:v>0.396328953430228</c:v>
                </c:pt>
                <c:pt idx="216">
                  <c:v>0.39636185890436976</c:v>
                </c:pt>
                <c:pt idx="217">
                  <c:v>0.39639684734253178</c:v>
                </c:pt>
                <c:pt idx="218">
                  <c:v>0.39643390808689688</c:v>
                </c:pt>
                <c:pt idx="219">
                  <c:v>0.39647302984840332</c:v>
                </c:pt>
                <c:pt idx="220">
                  <c:v>0.39651420071018362</c:v>
                </c:pt>
                <c:pt idx="221">
                  <c:v>0.39655740813119433</c:v>
                </c:pt>
                <c:pt idx="222">
                  <c:v>0.3966026389500365</c:v>
                </c:pt>
                <c:pt idx="223">
                  <c:v>0.39664987938896457</c:v>
                </c:pt>
                <c:pt idx="224">
                  <c:v>0.39669911505808325</c:v>
                </c:pt>
                <c:pt idx="225">
                  <c:v>0.39675033095973067</c:v>
                </c:pt>
                <c:pt idx="226">
                  <c:v>0.39680351149304716</c:v>
                </c:pt>
                <c:pt idx="227">
                  <c:v>0.39685864045872699</c:v>
                </c:pt>
                <c:pt idx="228">
                  <c:v>0.39691570106395324</c:v>
                </c:pt>
                <c:pt idx="229">
                  <c:v>0.39697467592751279</c:v>
                </c:pt>
                <c:pt idx="230">
                  <c:v>0.39703554708509087</c:v>
                </c:pt>
                <c:pt idx="231">
                  <c:v>0.39709829599474322</c:v>
                </c:pt>
                <c:pt idx="232">
                  <c:v>0.39716290354254413</c:v>
                </c:pt>
                <c:pt idx="233">
                  <c:v>0.39722935004840865</c:v>
                </c:pt>
                <c:pt idx="234">
                  <c:v>0.3972976152720874</c:v>
                </c:pt>
                <c:pt idx="235">
                  <c:v>0.39736767841933196</c:v>
                </c:pt>
                <c:pt idx="236">
                  <c:v>0.39743951814822892</c:v>
                </c:pt>
                <c:pt idx="237">
                  <c:v>0.39751311257570104</c:v>
                </c:pt>
                <c:pt idx="238">
                  <c:v>0.39758843928417265</c:v>
                </c:pt>
                <c:pt idx="239">
                  <c:v>0.39766547532839874</c:v>
                </c:pt>
                <c:pt idx="240">
                  <c:v>0.39774419724245397</c:v>
                </c:pt>
                <c:pt idx="241">
                  <c:v>0.39782458104688068</c:v>
                </c:pt>
                <c:pt idx="242">
                  <c:v>0.39790660225599334</c:v>
                </c:pt>
                <c:pt idx="243">
                  <c:v>0.39799023588533711</c:v>
                </c:pt>
                <c:pt idx="244">
                  <c:v>0.39807545645929837</c:v>
                </c:pt>
                <c:pt idx="245">
                  <c:v>0.39816223801886469</c:v>
                </c:pt>
                <c:pt idx="246">
                  <c:v>0.39825055412953231</c:v>
                </c:pt>
                <c:pt idx="247">
                  <c:v>0.3983403778893585</c:v>
                </c:pt>
                <c:pt idx="248">
                  <c:v>0.39843168193715578</c:v>
                </c:pt>
                <c:pt idx="249">
                  <c:v>0.39852443846082669</c:v>
                </c:pt>
                <c:pt idx="250">
                  <c:v>0.39861861920583569</c:v>
                </c:pt>
                <c:pt idx="251">
                  <c:v>0.39871419548381537</c:v>
                </c:pt>
                <c:pt idx="252">
                  <c:v>0.3988111381813057</c:v>
                </c:pt>
                <c:pt idx="253">
                  <c:v>0.39890941776862182</c:v>
                </c:pt>
                <c:pt idx="254">
                  <c:v>0.39900900430884945</c:v>
                </c:pt>
                <c:pt idx="255">
                  <c:v>0.39910986746696364</c:v>
                </c:pt>
                <c:pt idx="256">
                  <c:v>0.39921197651906942</c:v>
                </c:pt>
                <c:pt idx="257">
                  <c:v>0.39931530036176038</c:v>
                </c:pt>
                <c:pt idx="258">
                  <c:v>0.39941980752159301</c:v>
                </c:pt>
                <c:pt idx="259">
                  <c:v>0.39952546616467416</c:v>
                </c:pt>
                <c:pt idx="260">
                  <c:v>0.39963224410635756</c:v>
                </c:pt>
                <c:pt idx="261">
                  <c:v>0.39974010882104777</c:v>
                </c:pt>
                <c:pt idx="262">
                  <c:v>0.39984902745210782</c:v>
                </c:pt>
                <c:pt idx="263">
                  <c:v>0.39995896682186755</c:v>
                </c:pt>
                <c:pt idx="264">
                  <c:v>0.40006989344172994</c:v>
                </c:pt>
                <c:pt idx="265">
                  <c:v>0.400181773522372</c:v>
                </c:pt>
                <c:pt idx="266">
                  <c:v>0.40029457298403737</c:v>
                </c:pt>
                <c:pt idx="267">
                  <c:v>0.40040825746691727</c:v>
                </c:pt>
                <c:pt idx="268">
                  <c:v>0.40052279234161697</c:v>
                </c:pt>
                <c:pt idx="269">
                  <c:v>0.40063814271970416</c:v>
                </c:pt>
                <c:pt idx="270">
                  <c:v>0.40075427346433617</c:v>
                </c:pt>
                <c:pt idx="271">
                  <c:v>0.40087114920096323</c:v>
                </c:pt>
                <c:pt idx="272">
                  <c:v>0.40098873432810372</c:v>
                </c:pt>
                <c:pt idx="273">
                  <c:v>0.40110699302818892</c:v>
                </c:pt>
                <c:pt idx="274">
                  <c:v>0.40122588927847314</c:v>
                </c:pt>
                <c:pt idx="275">
                  <c:v>0.40134538686200677</c:v>
                </c:pt>
                <c:pt idx="276">
                  <c:v>0.40146544937866829</c:v>
                </c:pt>
                <c:pt idx="277">
                  <c:v>0.40158604025625205</c:v>
                </c:pt>
                <c:pt idx="278">
                  <c:v>0.40170712276160847</c:v>
                </c:pt>
                <c:pt idx="279">
                  <c:v>0.40182866001183359</c:v>
                </c:pt>
                <c:pt idx="280">
                  <c:v>0.40195061498550355</c:v>
                </c:pt>
                <c:pt idx="281">
                  <c:v>0.40207295053395203</c:v>
                </c:pt>
                <c:pt idx="282">
                  <c:v>0.4021956293925858</c:v>
                </c:pt>
                <c:pt idx="283">
                  <c:v>0.40231861419223613</c:v>
                </c:pt>
                <c:pt idx="284">
                  <c:v>0.40244186747054173</c:v>
                </c:pt>
                <c:pt idx="285">
                  <c:v>0.40256535168335994</c:v>
                </c:pt>
                <c:pt idx="286">
                  <c:v>0.40268902921620342</c:v>
                </c:pt>
                <c:pt idx="287">
                  <c:v>0.40281286239569752</c:v>
                </c:pt>
                <c:pt idx="288">
                  <c:v>0.4029368135010562</c:v>
                </c:pt>
                <c:pt idx="289">
                  <c:v>0.40306084477557197</c:v>
                </c:pt>
                <c:pt idx="290">
                  <c:v>0.4031849184381171</c:v>
                </c:pt>
                <c:pt idx="291">
                  <c:v>0.40330899669465214</c:v>
                </c:pt>
                <c:pt idx="292">
                  <c:v>0.4034330417497381</c:v>
                </c:pt>
                <c:pt idx="293">
                  <c:v>0.40355701581804954</c:v>
                </c:pt>
                <c:pt idx="294">
                  <c:v>0.4036808811358843</c:v>
                </c:pt>
                <c:pt idx="295">
                  <c:v>0.40380459997266671</c:v>
                </c:pt>
                <c:pt idx="296">
                  <c:v>0.40392813464244054</c:v>
                </c:pt>
                <c:pt idx="297">
                  <c:v>0.40405144751534866</c:v>
                </c:pt>
                <c:pt idx="298">
                  <c:v>0.40417450102909547</c:v>
                </c:pt>
                <c:pt idx="299">
                  <c:v>0.4042972577003886</c:v>
                </c:pt>
                <c:pt idx="300">
                  <c:v>0.40441968013635687</c:v>
                </c:pt>
                <c:pt idx="301">
                  <c:v>0.40454173104594021</c:v>
                </c:pt>
                <c:pt idx="302">
                  <c:v>0.4046633732512494</c:v>
                </c:pt>
                <c:pt idx="303">
                  <c:v>0.40478456969889021</c:v>
                </c:pt>
                <c:pt idx="304">
                  <c:v>0.40490528347125065</c:v>
                </c:pt>
                <c:pt idx="305">
                  <c:v>0.40502547779774634</c:v>
                </c:pt>
                <c:pt idx="306">
                  <c:v>0.40514511606602099</c:v>
                </c:pt>
                <c:pt idx="307">
                  <c:v>0.40526416183309916</c:v>
                </c:pt>
                <c:pt idx="308">
                  <c:v>0.40538257883648704</c:v>
                </c:pt>
                <c:pt idx="309">
                  <c:v>0.40550033100521815</c:v>
                </c:pt>
                <c:pt idx="310">
                  <c:v>0.40561738247084128</c:v>
                </c:pt>
                <c:pt idx="311">
                  <c:v>0.4057336975783461</c:v>
                </c:pt>
                <c:pt idx="312">
                  <c:v>0.40584924089702407</c:v>
                </c:pt>
                <c:pt idx="313">
                  <c:v>0.40596397723126104</c:v>
                </c:pt>
                <c:pt idx="314">
                  <c:v>0.40607787163125814</c:v>
                </c:pt>
                <c:pt idx="315">
                  <c:v>0.40619088940367776</c:v>
                </c:pt>
                <c:pt idx="316">
                  <c:v>0.4063029961222116</c:v>
                </c:pt>
                <c:pt idx="317">
                  <c:v>0.40641415763806726</c:v>
                </c:pt>
                <c:pt idx="318">
                  <c:v>0.40652434009037008</c:v>
                </c:pt>
                <c:pt idx="319">
                  <c:v>0.40663350991647779</c:v>
                </c:pt>
                <c:pt idx="320">
                  <c:v>0.4067416338622038</c:v>
                </c:pt>
                <c:pt idx="321">
                  <c:v>0.40684867899194677</c:v>
                </c:pt>
                <c:pt idx="322">
                  <c:v>0.40695461269872329</c:v>
                </c:pt>
                <c:pt idx="323">
                  <c:v>0.40705940271410002</c:v>
                </c:pt>
                <c:pt idx="324">
                  <c:v>0.40716301711802311</c:v>
                </c:pt>
                <c:pt idx="325">
                  <c:v>0.40726542434854146</c:v>
                </c:pt>
                <c:pt idx="326">
                  <c:v>0.40736659321142066</c:v>
                </c:pt>
                <c:pt idx="327">
                  <c:v>0.40746649288964487</c:v>
                </c:pt>
                <c:pt idx="328">
                  <c:v>0.40756509295280452</c:v>
                </c:pt>
                <c:pt idx="329">
                  <c:v>0.40766236336636513</c:v>
                </c:pt>
                <c:pt idx="330">
                  <c:v>0.40775827450081642</c:v>
                </c:pt>
                <c:pt idx="331">
                  <c:v>0.40785279714069783</c:v>
                </c:pt>
                <c:pt idx="332">
                  <c:v>0.40794590249349749</c:v>
                </c:pt>
                <c:pt idx="333">
                  <c:v>0.40803756219842302</c:v>
                </c:pt>
                <c:pt idx="334">
                  <c:v>0.4081277483350404</c:v>
                </c:pt>
                <c:pt idx="335">
                  <c:v>0.40821643343177877</c:v>
                </c:pt>
                <c:pt idx="336">
                  <c:v>0.40830359047429854</c:v>
                </c:pt>
                <c:pt idx="337">
                  <c:v>0.40838919291372028</c:v>
                </c:pt>
                <c:pt idx="338">
                  <c:v>0.40847321467471159</c:v>
                </c:pt>
                <c:pt idx="339">
                  <c:v>0.40855563016343027</c:v>
                </c:pt>
                <c:pt idx="340">
                  <c:v>0.40863641427531999</c:v>
                </c:pt>
                <c:pt idx="341">
                  <c:v>0.4087155424027577</c:v>
                </c:pt>
                <c:pt idx="342">
                  <c:v>0.4087929904425493</c:v>
                </c:pt>
                <c:pt idx="343">
                  <c:v>0.40886873480327157</c:v>
                </c:pt>
                <c:pt idx="344">
                  <c:v>0.40894275241245848</c:v>
                </c:pt>
                <c:pt idx="345">
                  <c:v>0.40901502072362927</c:v>
                </c:pt>
                <c:pt idx="346">
                  <c:v>0.40908551772315627</c:v>
                </c:pt>
                <c:pt idx="347">
                  <c:v>0.40915422193697054</c:v>
                </c:pt>
                <c:pt idx="348">
                  <c:v>0.40922111243710296</c:v>
                </c:pt>
                <c:pt idx="349">
                  <c:v>0.40928616884805918</c:v>
                </c:pt>
                <c:pt idx="350">
                  <c:v>0.40934937135302624</c:v>
                </c:pt>
                <c:pt idx="351">
                  <c:v>0.40941070069990892</c:v>
                </c:pt>
                <c:pt idx="352">
                  <c:v>0.40947013820719397</c:v>
                </c:pt>
                <c:pt idx="353">
                  <c:v>0.40952766576964089</c:v>
                </c:pt>
                <c:pt idx="354">
                  <c:v>0.4095832658637969</c:v>
                </c:pt>
                <c:pt idx="355">
                  <c:v>0.40963692155333475</c:v>
                </c:pt>
                <c:pt idx="356">
                  <c:v>0.40968861649421162</c:v>
                </c:pt>
                <c:pt idx="357">
                  <c:v>0.40973833493964767</c:v>
                </c:pt>
                <c:pt idx="358">
                  <c:v>0.40978606174492282</c:v>
                </c:pt>
                <c:pt idx="359">
                  <c:v>0.40983178237198986</c:v>
                </c:pt>
                <c:pt idx="360">
                  <c:v>0.40987548289390291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IF特性!$M$86</c:f>
              <c:strCache>
                <c:ptCount val="1"/>
                <c:pt idx="0">
                  <c:v>5000K(ANSI)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lgDash"/>
            </a:ln>
          </c:spPr>
          <c:marker>
            <c:symbol val="none"/>
          </c:marker>
          <c:xVal>
            <c:numRef>
              <c:f>IF特性!$M$88:$M$92</c:f>
              <c:numCache>
                <c:formatCode>0.0000_ </c:formatCode>
                <c:ptCount val="5"/>
              </c:numCache>
            </c:numRef>
          </c:xVal>
          <c:yVal>
            <c:numRef>
              <c:f>IF特性!$N$88:$N$92</c:f>
              <c:numCache>
                <c:formatCode>0.0000_ </c:formatCode>
                <c:ptCount val="5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755904"/>
        <c:axId val="117757824"/>
      </c:scatterChart>
      <c:valAx>
        <c:axId val="117755904"/>
        <c:scaling>
          <c:orientation val="minMax"/>
          <c:max val="0.46"/>
          <c:min val="0.41000000000000003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CIE x</a:t>
                </a:r>
              </a:p>
            </c:rich>
          </c:tx>
          <c:layout>
            <c:manualLayout>
              <c:xMode val="edge"/>
              <c:yMode val="edge"/>
              <c:x val="0.46050448239424618"/>
              <c:y val="0.91294736595425563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757824"/>
        <c:crosses val="autoZero"/>
        <c:crossBetween val="midCat"/>
      </c:valAx>
      <c:valAx>
        <c:axId val="117757824"/>
        <c:scaling>
          <c:orientation val="minMax"/>
          <c:max val="0.43000000000000005"/>
          <c:min val="0.37000000000000005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CIE y</a:t>
                </a:r>
              </a:p>
            </c:rich>
          </c:tx>
          <c:layout>
            <c:manualLayout>
              <c:xMode val="edge"/>
              <c:yMode val="edge"/>
              <c:x val="2.8571428571428571E-2"/>
              <c:y val="0.45089332583427072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75590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487081160309499"/>
          <c:y val="2.0089285714285716E-2"/>
          <c:w val="0.23376640419947503"/>
          <c:h val="0.2366073772028496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99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en-US"/>
              <a:t>Tc-⊿VF</a:t>
            </a:r>
          </a:p>
        </c:rich>
      </c:tx>
      <c:layout>
        <c:manualLayout>
          <c:xMode val="edge"/>
          <c:yMode val="edge"/>
          <c:x val="0.44213060173033925"/>
          <c:y val="4.166691807202260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51884295166684"/>
          <c:y val="0.14583392673310031"/>
          <c:w val="0.53935307109255437"/>
          <c:h val="0.66250269573037002"/>
        </c:manualLayout>
      </c:layout>
      <c:scatterChart>
        <c:scatterStyle val="smooth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41038471404337828"/>
                  <c:y val="0.10173365651145211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FF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Tc特性!$C$15:$C$23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Tc特性!$J$15:$J$23</c:f>
              <c:numCache>
                <c:formatCode>0%</c:formatCode>
                <c:ptCount val="9"/>
                <c:pt idx="0">
                  <c:v>1.0191301234023797</c:v>
                </c:pt>
                <c:pt idx="1">
                  <c:v>1</c:v>
                </c:pt>
                <c:pt idx="2">
                  <c:v>0.98785257822829431</c:v>
                </c:pt>
                <c:pt idx="3">
                  <c:v>0.97723391361833423</c:v>
                </c:pt>
                <c:pt idx="4">
                  <c:v>0.97647642133098278</c:v>
                </c:pt>
                <c:pt idx="5">
                  <c:v>0.96756555751432338</c:v>
                </c:pt>
                <c:pt idx="6">
                  <c:v>0.9587373292199205</c:v>
                </c:pt>
                <c:pt idx="7">
                  <c:v>0.95030850594975758</c:v>
                </c:pt>
                <c:pt idx="8">
                  <c:v>0.94619050242397518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263424"/>
        <c:axId val="124286080"/>
      </c:scatterChart>
      <c:valAx>
        <c:axId val="1242634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8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Tc ［℃］</a:t>
                </a:r>
              </a:p>
            </c:rich>
          </c:tx>
          <c:layout>
            <c:manualLayout>
              <c:xMode val="edge"/>
              <c:yMode val="edge"/>
              <c:x val="0.36111184018664333"/>
              <c:y val="0.90416990979575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4286080"/>
        <c:crosses val="autoZero"/>
        <c:crossBetween val="midCat"/>
        <c:majorUnit val="20"/>
      </c:valAx>
      <c:valAx>
        <c:axId val="124286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8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⊿VF ［%］</a:t>
                </a:r>
              </a:p>
            </c:rich>
          </c:tx>
          <c:layout>
            <c:manualLayout>
              <c:xMode val="edge"/>
              <c:yMode val="edge"/>
              <c:x val="1.6203703703703703E-2"/>
              <c:y val="0.36666847678522946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426342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527947895401967"/>
          <c:y val="0.40833459036011305"/>
          <c:w val="0.26620418975405846"/>
          <c:h val="0.150000502810711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Tc-⊿Φv</a:t>
            </a:r>
          </a:p>
        </c:rich>
      </c:tx>
      <c:layout>
        <c:manualLayout>
          <c:xMode val="edge"/>
          <c:yMode val="edge"/>
          <c:x val="0.44083526682134572"/>
          <c:y val="3.94738007146697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1322505800464"/>
          <c:y val="0.14035147834206391"/>
          <c:w val="0.50812064965197212"/>
          <c:h val="0.65789755472842448"/>
        </c:manualLayout>
      </c:layout>
      <c:scatterChart>
        <c:scatterStyle val="smooth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poly"/>
            <c:order val="2"/>
            <c:dispRSqr val="0"/>
            <c:dispEq val="1"/>
            <c:trendlineLbl>
              <c:layout>
                <c:manualLayout>
                  <c:x val="0.44751062574463102"/>
                  <c:y val="0.27638117553296249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25" b="0" i="0" u="none" strike="noStrike" baseline="0">
                      <a:solidFill>
                        <a:srgbClr val="0000FF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Tc特性!$C$29:$C$37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Tc特性!$L$29:$L$37</c:f>
              <c:numCache>
                <c:formatCode>0%</c:formatCode>
                <c:ptCount val="9"/>
                <c:pt idx="0">
                  <c:v>1.0376155975348649</c:v>
                </c:pt>
                <c:pt idx="1">
                  <c:v>1</c:v>
                </c:pt>
                <c:pt idx="2">
                  <c:v>0.965906177732898</c:v>
                </c:pt>
                <c:pt idx="3">
                  <c:v>0.92550695713011188</c:v>
                </c:pt>
                <c:pt idx="4">
                  <c:v>0.92207812288136637</c:v>
                </c:pt>
                <c:pt idx="5">
                  <c:v>0.87841314458274311</c:v>
                </c:pt>
                <c:pt idx="6">
                  <c:v>0.82795105484180598</c:v>
                </c:pt>
                <c:pt idx="7">
                  <c:v>0.7715915587085006</c:v>
                </c:pt>
                <c:pt idx="8">
                  <c:v>0.74124465546515306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659968"/>
        <c:axId val="124666240"/>
      </c:scatterChart>
      <c:valAx>
        <c:axId val="12465996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9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Tc ［℃］</a:t>
                </a:r>
              </a:p>
            </c:rich>
          </c:tx>
          <c:layout>
            <c:manualLayout>
              <c:xMode val="edge"/>
              <c:yMode val="edge"/>
              <c:x val="0.35498839907192575"/>
              <c:y val="0.899126163446436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4666240"/>
        <c:crosses val="autoZero"/>
        <c:crossBetween val="midCat"/>
        <c:majorUnit val="20"/>
      </c:valAx>
      <c:valAx>
        <c:axId val="12466624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9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⊿Φv ［%］</a:t>
                </a:r>
              </a:p>
            </c:rich>
          </c:tx>
          <c:layout>
            <c:manualLayout>
              <c:xMode val="edge"/>
              <c:yMode val="edge"/>
              <c:x val="2.5522041763341066E-2"/>
              <c:y val="0.3464921101729753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465996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461716937354991"/>
          <c:y val="0.40351010340574894"/>
          <c:w val="0.26682134570765659"/>
          <c:h val="0.157895202858678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en-US"/>
              <a:t>Tc-VF</a:t>
            </a:r>
          </a:p>
        </c:rich>
      </c:tx>
      <c:layout>
        <c:manualLayout>
          <c:xMode val="edge"/>
          <c:yMode val="edge"/>
          <c:x val="0.46189424936201678"/>
          <c:y val="4.09833110483831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551982841349012"/>
          <c:y val="0.20901681171717251"/>
          <c:w val="0.76443504216927927"/>
          <c:h val="0.557378164579126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Tc特性!$H$14</c:f>
              <c:strCache>
                <c:ptCount val="1"/>
                <c:pt idx="0">
                  <c:v>ave.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Tc特性!$C$15:$C$23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Tc特性!$H$15:$H$23</c:f>
              <c:numCache>
                <c:formatCode>0.000</c:formatCode>
                <c:ptCount val="9"/>
                <c:pt idx="0">
                  <c:v>36.9985</c:v>
                </c:pt>
                <c:pt idx="1">
                  <c:v>36.304000000000002</c:v>
                </c:pt>
                <c:pt idx="2">
                  <c:v>35.863</c:v>
                </c:pt>
                <c:pt idx="3">
                  <c:v>35.477500000000006</c:v>
                </c:pt>
                <c:pt idx="4">
                  <c:v>35.450000000000003</c:v>
                </c:pt>
                <c:pt idx="5">
                  <c:v>35.1265</c:v>
                </c:pt>
                <c:pt idx="6">
                  <c:v>34.805999999999997</c:v>
                </c:pt>
                <c:pt idx="7">
                  <c:v>34.5</c:v>
                </c:pt>
                <c:pt idx="8">
                  <c:v>34.350499999999997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712064"/>
        <c:axId val="124713984"/>
      </c:scatterChart>
      <c:valAx>
        <c:axId val="12471206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Tc ［℃］</a:t>
                </a:r>
              </a:p>
            </c:rich>
          </c:tx>
          <c:layout>
            <c:manualLayout>
              <c:xMode val="edge"/>
              <c:yMode val="edge"/>
              <c:x val="0.50808362580543476"/>
              <c:y val="0.8647559055118110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4713984"/>
        <c:crosses val="autoZero"/>
        <c:crossBetween val="midCat"/>
      </c:valAx>
      <c:valAx>
        <c:axId val="12471398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VF ［V］</a:t>
                </a:r>
              </a:p>
            </c:rich>
          </c:tx>
          <c:layout>
            <c:manualLayout>
              <c:xMode val="edge"/>
              <c:yMode val="edge"/>
              <c:x val="3.695150115473441E-2"/>
              <c:y val="0.40983707225276084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471206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0C0C0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Tc-Φv</a:t>
            </a:r>
          </a:p>
        </c:rich>
      </c:tx>
      <c:layout>
        <c:manualLayout>
          <c:xMode val="edge"/>
          <c:yMode val="edge"/>
          <c:x val="0.45766590389016021"/>
          <c:y val="4.05404879945562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764302059496568"/>
          <c:y val="0.19369454574247669"/>
          <c:w val="0.50114416475972545"/>
          <c:h val="0.5450474426706902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Tc特性!$J$28</c:f>
              <c:strCache>
                <c:ptCount val="1"/>
                <c:pt idx="0">
                  <c:v>ave.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Tc特性!$C$29:$C$37</c:f>
              <c:numCache>
                <c:formatCode>0_);[Red]\(0\)</c:formatCode>
                <c:ptCount val="9"/>
                <c:pt idx="0">
                  <c:v>0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 formatCode="0.0_);[Red]\(0.0\)">
                  <c:v>66.3</c:v>
                </c:pt>
                <c:pt idx="5">
                  <c:v>85</c:v>
                </c:pt>
                <c:pt idx="6">
                  <c:v>105</c:v>
                </c:pt>
                <c:pt idx="7">
                  <c:v>125</c:v>
                </c:pt>
                <c:pt idx="8">
                  <c:v>135</c:v>
                </c:pt>
              </c:numCache>
            </c:numRef>
          </c:xVal>
          <c:yVal>
            <c:numRef>
              <c:f>Tc特性!$J$29:$J$37</c:f>
              <c:numCache>
                <c:formatCode>0.00</c:formatCode>
                <c:ptCount val="9"/>
                <c:pt idx="0">
                  <c:v>364.66883372570555</c:v>
                </c:pt>
                <c:pt idx="1">
                  <c:v>351.448874315377</c:v>
                </c:pt>
                <c:pt idx="2">
                  <c:v>339.46663885849546</c:v>
                </c:pt>
                <c:pt idx="3" formatCode="0.000">
                  <c:v>325.26837825442772</c:v>
                </c:pt>
                <c:pt idx="4" formatCode="0.000">
                  <c:v>324.06331831749208</c:v>
                </c:pt>
                <c:pt idx="5">
                  <c:v>308.71731084743556</c:v>
                </c:pt>
                <c:pt idx="6">
                  <c:v>290.98246621238167</c:v>
                </c:pt>
                <c:pt idx="7">
                  <c:v>271.17498473934967</c:v>
                </c:pt>
                <c:pt idx="8">
                  <c:v>260.50959975551751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590272"/>
        <c:axId val="61801984"/>
      </c:scatterChart>
      <c:valAx>
        <c:axId val="55590272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Tc ［℃］</a:t>
                </a:r>
              </a:p>
            </c:rich>
          </c:tx>
          <c:layout>
            <c:manualLayout>
              <c:xMode val="edge"/>
              <c:yMode val="edge"/>
              <c:x val="0.38901601830663618"/>
              <c:y val="0.846850501711977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801984"/>
        <c:crosses val="autoZero"/>
        <c:crossBetween val="midCat"/>
      </c:valAx>
      <c:valAx>
        <c:axId val="6180198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Φv ［lm］</a:t>
                </a:r>
              </a:p>
            </c:rich>
          </c:tx>
          <c:layout>
            <c:manualLayout>
              <c:xMode val="edge"/>
              <c:yMode val="edge"/>
              <c:x val="3.6613272311212815E-2"/>
              <c:y val="0.36486612013004543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559027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0C0C0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スペクトル</a:t>
            </a:r>
          </a:p>
        </c:rich>
      </c:tx>
      <c:layout>
        <c:manualLayout>
          <c:xMode val="edge"/>
          <c:yMode val="edge"/>
          <c:x val="0.44594630063134"/>
          <c:y val="3.10262529832935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89200892433695"/>
          <c:y val="0.12171837708830549"/>
          <c:w val="0.805743907820342"/>
          <c:h val="0.706443914081145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スペ!$G$17</c:f>
              <c:strCache>
                <c:ptCount val="1"/>
                <c:pt idx="0">
                  <c:v>ave.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スペ!$B$18:$B$112</c:f>
              <c:numCache>
                <c:formatCode>General</c:formatCode>
                <c:ptCount val="95"/>
                <c:pt idx="0">
                  <c:v>360</c:v>
                </c:pt>
                <c:pt idx="1">
                  <c:v>365</c:v>
                </c:pt>
                <c:pt idx="2">
                  <c:v>370</c:v>
                </c:pt>
                <c:pt idx="3">
                  <c:v>375</c:v>
                </c:pt>
                <c:pt idx="4">
                  <c:v>380</c:v>
                </c:pt>
                <c:pt idx="5">
                  <c:v>385</c:v>
                </c:pt>
                <c:pt idx="6">
                  <c:v>390</c:v>
                </c:pt>
                <c:pt idx="7">
                  <c:v>395</c:v>
                </c:pt>
                <c:pt idx="8">
                  <c:v>400</c:v>
                </c:pt>
                <c:pt idx="9">
                  <c:v>405</c:v>
                </c:pt>
                <c:pt idx="10">
                  <c:v>410</c:v>
                </c:pt>
                <c:pt idx="11">
                  <c:v>415</c:v>
                </c:pt>
                <c:pt idx="12">
                  <c:v>420</c:v>
                </c:pt>
                <c:pt idx="13">
                  <c:v>425</c:v>
                </c:pt>
                <c:pt idx="14">
                  <c:v>430</c:v>
                </c:pt>
                <c:pt idx="15">
                  <c:v>435</c:v>
                </c:pt>
                <c:pt idx="16">
                  <c:v>440</c:v>
                </c:pt>
                <c:pt idx="17">
                  <c:v>445</c:v>
                </c:pt>
                <c:pt idx="18">
                  <c:v>450</c:v>
                </c:pt>
                <c:pt idx="19">
                  <c:v>455</c:v>
                </c:pt>
                <c:pt idx="20">
                  <c:v>460</c:v>
                </c:pt>
                <c:pt idx="21">
                  <c:v>465</c:v>
                </c:pt>
                <c:pt idx="22">
                  <c:v>470</c:v>
                </c:pt>
                <c:pt idx="23">
                  <c:v>475</c:v>
                </c:pt>
                <c:pt idx="24">
                  <c:v>480</c:v>
                </c:pt>
                <c:pt idx="25">
                  <c:v>485</c:v>
                </c:pt>
                <c:pt idx="26">
                  <c:v>490</c:v>
                </c:pt>
                <c:pt idx="27">
                  <c:v>495</c:v>
                </c:pt>
                <c:pt idx="28">
                  <c:v>500</c:v>
                </c:pt>
                <c:pt idx="29">
                  <c:v>505</c:v>
                </c:pt>
                <c:pt idx="30">
                  <c:v>510</c:v>
                </c:pt>
                <c:pt idx="31">
                  <c:v>515</c:v>
                </c:pt>
                <c:pt idx="32">
                  <c:v>520</c:v>
                </c:pt>
                <c:pt idx="33">
                  <c:v>525</c:v>
                </c:pt>
                <c:pt idx="34">
                  <c:v>530</c:v>
                </c:pt>
                <c:pt idx="35">
                  <c:v>535</c:v>
                </c:pt>
                <c:pt idx="36">
                  <c:v>540</c:v>
                </c:pt>
                <c:pt idx="37">
                  <c:v>545</c:v>
                </c:pt>
                <c:pt idx="38">
                  <c:v>550</c:v>
                </c:pt>
                <c:pt idx="39">
                  <c:v>555</c:v>
                </c:pt>
                <c:pt idx="40">
                  <c:v>560</c:v>
                </c:pt>
                <c:pt idx="41">
                  <c:v>565</c:v>
                </c:pt>
                <c:pt idx="42">
                  <c:v>570</c:v>
                </c:pt>
                <c:pt idx="43">
                  <c:v>575</c:v>
                </c:pt>
                <c:pt idx="44">
                  <c:v>580</c:v>
                </c:pt>
                <c:pt idx="45">
                  <c:v>585</c:v>
                </c:pt>
                <c:pt idx="46">
                  <c:v>590</c:v>
                </c:pt>
                <c:pt idx="47">
                  <c:v>595</c:v>
                </c:pt>
                <c:pt idx="48">
                  <c:v>600</c:v>
                </c:pt>
                <c:pt idx="49">
                  <c:v>605</c:v>
                </c:pt>
                <c:pt idx="50">
                  <c:v>610</c:v>
                </c:pt>
                <c:pt idx="51">
                  <c:v>615</c:v>
                </c:pt>
                <c:pt idx="52">
                  <c:v>620</c:v>
                </c:pt>
                <c:pt idx="53">
                  <c:v>625</c:v>
                </c:pt>
                <c:pt idx="54">
                  <c:v>630</c:v>
                </c:pt>
                <c:pt idx="55">
                  <c:v>635</c:v>
                </c:pt>
                <c:pt idx="56">
                  <c:v>640</c:v>
                </c:pt>
                <c:pt idx="57">
                  <c:v>645</c:v>
                </c:pt>
                <c:pt idx="58">
                  <c:v>650</c:v>
                </c:pt>
                <c:pt idx="59">
                  <c:v>655</c:v>
                </c:pt>
                <c:pt idx="60">
                  <c:v>660</c:v>
                </c:pt>
                <c:pt idx="61">
                  <c:v>665</c:v>
                </c:pt>
                <c:pt idx="62">
                  <c:v>670</c:v>
                </c:pt>
                <c:pt idx="63">
                  <c:v>675</c:v>
                </c:pt>
                <c:pt idx="64">
                  <c:v>680</c:v>
                </c:pt>
                <c:pt idx="65">
                  <c:v>685</c:v>
                </c:pt>
                <c:pt idx="66">
                  <c:v>690</c:v>
                </c:pt>
                <c:pt idx="67">
                  <c:v>695</c:v>
                </c:pt>
                <c:pt idx="68">
                  <c:v>700</c:v>
                </c:pt>
                <c:pt idx="69">
                  <c:v>705</c:v>
                </c:pt>
                <c:pt idx="70">
                  <c:v>710</c:v>
                </c:pt>
                <c:pt idx="71">
                  <c:v>715</c:v>
                </c:pt>
                <c:pt idx="72">
                  <c:v>720</c:v>
                </c:pt>
                <c:pt idx="73">
                  <c:v>725</c:v>
                </c:pt>
                <c:pt idx="74">
                  <c:v>730</c:v>
                </c:pt>
                <c:pt idx="75">
                  <c:v>735</c:v>
                </c:pt>
                <c:pt idx="76">
                  <c:v>740</c:v>
                </c:pt>
                <c:pt idx="77">
                  <c:v>745</c:v>
                </c:pt>
                <c:pt idx="78">
                  <c:v>750</c:v>
                </c:pt>
                <c:pt idx="79">
                  <c:v>755</c:v>
                </c:pt>
                <c:pt idx="80">
                  <c:v>760</c:v>
                </c:pt>
                <c:pt idx="81">
                  <c:v>765</c:v>
                </c:pt>
                <c:pt idx="82">
                  <c:v>770</c:v>
                </c:pt>
                <c:pt idx="83">
                  <c:v>775</c:v>
                </c:pt>
                <c:pt idx="84">
                  <c:v>780</c:v>
                </c:pt>
                <c:pt idx="85">
                  <c:v>785</c:v>
                </c:pt>
                <c:pt idx="86">
                  <c:v>790</c:v>
                </c:pt>
                <c:pt idx="87">
                  <c:v>795</c:v>
                </c:pt>
                <c:pt idx="88">
                  <c:v>800</c:v>
                </c:pt>
                <c:pt idx="89">
                  <c:v>805</c:v>
                </c:pt>
                <c:pt idx="90">
                  <c:v>810</c:v>
                </c:pt>
                <c:pt idx="91">
                  <c:v>815</c:v>
                </c:pt>
                <c:pt idx="92">
                  <c:v>820</c:v>
                </c:pt>
                <c:pt idx="93">
                  <c:v>825</c:v>
                </c:pt>
                <c:pt idx="94">
                  <c:v>830</c:v>
                </c:pt>
              </c:numCache>
            </c:numRef>
          </c:xVal>
          <c:yVal>
            <c:numRef>
              <c:f>スペ!$G$18:$G$112</c:f>
              <c:numCache>
                <c:formatCode>0.00000%</c:formatCode>
                <c:ptCount val="95"/>
                <c:pt idx="0">
                  <c:v>1.814445202797025E-2</c:v>
                </c:pt>
                <c:pt idx="1">
                  <c:v>1.8785595298662826E-2</c:v>
                </c:pt>
                <c:pt idx="2">
                  <c:v>2.6984132775277996E-2</c:v>
                </c:pt>
                <c:pt idx="3">
                  <c:v>3.8832744629709197E-2</c:v>
                </c:pt>
                <c:pt idx="4">
                  <c:v>3.1350942884861566E-2</c:v>
                </c:pt>
                <c:pt idx="5">
                  <c:v>2.8892450758199888E-2</c:v>
                </c:pt>
                <c:pt idx="6">
                  <c:v>1.1245253749996593E-2</c:v>
                </c:pt>
                <c:pt idx="7">
                  <c:v>1.3914787228988978E-2</c:v>
                </c:pt>
                <c:pt idx="8">
                  <c:v>1.4594988825474269E-2</c:v>
                </c:pt>
                <c:pt idx="9">
                  <c:v>7.9814452904966963E-3</c:v>
                </c:pt>
                <c:pt idx="10">
                  <c:v>6.7502287757033449E-3</c:v>
                </c:pt>
                <c:pt idx="11">
                  <c:v>9.3706871570531074E-3</c:v>
                </c:pt>
                <c:pt idx="12">
                  <c:v>1.6028517421863044E-2</c:v>
                </c:pt>
                <c:pt idx="13">
                  <c:v>2.8209558371926614E-2</c:v>
                </c:pt>
                <c:pt idx="14">
                  <c:v>4.949846460879255E-2</c:v>
                </c:pt>
                <c:pt idx="15">
                  <c:v>8.6098989871582016E-2</c:v>
                </c:pt>
                <c:pt idx="16">
                  <c:v>0.14334208133706203</c:v>
                </c:pt>
                <c:pt idx="17">
                  <c:v>0.22707389478809595</c:v>
                </c:pt>
                <c:pt idx="18">
                  <c:v>0.34475964183825519</c:v>
                </c:pt>
                <c:pt idx="19">
                  <c:v>0.46796784539060204</c:v>
                </c:pt>
                <c:pt idx="20">
                  <c:v>0.46027696991694111</c:v>
                </c:pt>
                <c:pt idx="21">
                  <c:v>0.32406597726531122</c:v>
                </c:pt>
                <c:pt idx="22">
                  <c:v>0.23181570335774843</c:v>
                </c:pt>
                <c:pt idx="23">
                  <c:v>0.19369526516383317</c:v>
                </c:pt>
                <c:pt idx="24">
                  <c:v>0.16430637292353922</c:v>
                </c:pt>
                <c:pt idx="25">
                  <c:v>0.16514464511361296</c:v>
                </c:pt>
                <c:pt idx="26">
                  <c:v>0.2019633350592018</c:v>
                </c:pt>
                <c:pt idx="27">
                  <c:v>0.25758932166636711</c:v>
                </c:pt>
                <c:pt idx="28">
                  <c:v>0.3228018718713167</c:v>
                </c:pt>
                <c:pt idx="29">
                  <c:v>0.39099090672181253</c:v>
                </c:pt>
                <c:pt idx="30">
                  <c:v>0.45017259479735755</c:v>
                </c:pt>
                <c:pt idx="31">
                  <c:v>0.48867239662193696</c:v>
                </c:pt>
                <c:pt idx="32">
                  <c:v>0.51310968638076149</c:v>
                </c:pt>
                <c:pt idx="33">
                  <c:v>0.52902653170927916</c:v>
                </c:pt>
                <c:pt idx="34">
                  <c:v>0.53774688224439493</c:v>
                </c:pt>
                <c:pt idx="35">
                  <c:v>0.54830980495162207</c:v>
                </c:pt>
                <c:pt idx="36">
                  <c:v>0.5610746661039856</c:v>
                </c:pt>
                <c:pt idx="37">
                  <c:v>0.57579855587801709</c:v>
                </c:pt>
                <c:pt idx="38">
                  <c:v>0.59194139435811377</c:v>
                </c:pt>
                <c:pt idx="39">
                  <c:v>0.61124749294187808</c:v>
                </c:pt>
                <c:pt idx="40">
                  <c:v>0.62977553649476803</c:v>
                </c:pt>
                <c:pt idx="41">
                  <c:v>0.64928045650279953</c:v>
                </c:pt>
                <c:pt idx="42">
                  <c:v>0.66795758908945313</c:v>
                </c:pt>
                <c:pt idx="43">
                  <c:v>0.68738401537681515</c:v>
                </c:pt>
                <c:pt idx="44">
                  <c:v>0.71012137443569234</c:v>
                </c:pt>
                <c:pt idx="45">
                  <c:v>0.7369834713661807</c:v>
                </c:pt>
                <c:pt idx="46">
                  <c:v>0.76512555591660092</c:v>
                </c:pt>
                <c:pt idx="47">
                  <c:v>0.79676861111305763</c:v>
                </c:pt>
                <c:pt idx="48">
                  <c:v>0.83124113878452643</c:v>
                </c:pt>
                <c:pt idx="49">
                  <c:v>0.86924095361375586</c:v>
                </c:pt>
                <c:pt idx="50">
                  <c:v>0.90867155395163224</c:v>
                </c:pt>
                <c:pt idx="51">
                  <c:v>0.94378171388419818</c:v>
                </c:pt>
                <c:pt idx="52">
                  <c:v>0.97134178860788989</c:v>
                </c:pt>
                <c:pt idx="53">
                  <c:v>0.99170976385539578</c:v>
                </c:pt>
                <c:pt idx="54">
                  <c:v>1</c:v>
                </c:pt>
                <c:pt idx="55">
                  <c:v>0.99777086607246168</c:v>
                </c:pt>
                <c:pt idx="56">
                  <c:v>0.98233664706321122</c:v>
                </c:pt>
                <c:pt idx="57">
                  <c:v>0.95674546030289831</c:v>
                </c:pt>
                <c:pt idx="58">
                  <c:v>0.9209878923049154</c:v>
                </c:pt>
                <c:pt idx="59">
                  <c:v>0.87584304823546077</c:v>
                </c:pt>
                <c:pt idx="60">
                  <c:v>0.82395715992461616</c:v>
                </c:pt>
                <c:pt idx="61">
                  <c:v>0.76598353258877971</c:v>
                </c:pt>
                <c:pt idx="62">
                  <c:v>0.7062855390841376</c:v>
                </c:pt>
                <c:pt idx="63">
                  <c:v>0.64527589214621184</c:v>
                </c:pt>
                <c:pt idx="64">
                  <c:v>0.58431867796173176</c:v>
                </c:pt>
                <c:pt idx="65">
                  <c:v>0.524811444992485</c:v>
                </c:pt>
                <c:pt idx="66">
                  <c:v>0.46834947099131674</c:v>
                </c:pt>
                <c:pt idx="67">
                  <c:v>0.41538202052911932</c:v>
                </c:pt>
                <c:pt idx="68">
                  <c:v>0.36684568586998445</c:v>
                </c:pt>
                <c:pt idx="69">
                  <c:v>0.32335023633745791</c:v>
                </c:pt>
                <c:pt idx="70">
                  <c:v>0.28150877442508709</c:v>
                </c:pt>
                <c:pt idx="71">
                  <c:v>0.24482570966900152</c:v>
                </c:pt>
                <c:pt idx="72">
                  <c:v>0.212062354655845</c:v>
                </c:pt>
                <c:pt idx="73">
                  <c:v>0.18361128088491144</c:v>
                </c:pt>
                <c:pt idx="74">
                  <c:v>0.15872749594241414</c:v>
                </c:pt>
                <c:pt idx="75">
                  <c:v>0.13640446755681404</c:v>
                </c:pt>
                <c:pt idx="76">
                  <c:v>0.11744128593203589</c:v>
                </c:pt>
                <c:pt idx="77">
                  <c:v>0.1009953534442169</c:v>
                </c:pt>
                <c:pt idx="78">
                  <c:v>8.6547715197227301E-2</c:v>
                </c:pt>
                <c:pt idx="79">
                  <c:v>7.416866927838324E-2</c:v>
                </c:pt>
                <c:pt idx="80">
                  <c:v>6.3654442764087424E-2</c:v>
                </c:pt>
                <c:pt idx="81">
                  <c:v>5.4655437307799294E-2</c:v>
                </c:pt>
                <c:pt idx="82">
                  <c:v>4.6853115698136966E-2</c:v>
                </c:pt>
                <c:pt idx="83">
                  <c:v>4.0034349431670321E-2</c:v>
                </c:pt>
                <c:pt idx="84">
                  <c:v>3.3982364311989088E-2</c:v>
                </c:pt>
                <c:pt idx="85">
                  <c:v>2.8922683514714598E-2</c:v>
                </c:pt>
                <c:pt idx="86">
                  <c:v>2.4647031569760117E-2</c:v>
                </c:pt>
                <c:pt idx="87">
                  <c:v>2.1176181156003778E-2</c:v>
                </c:pt>
                <c:pt idx="88">
                  <c:v>1.8131073570090819E-2</c:v>
                </c:pt>
                <c:pt idx="89">
                  <c:v>1.538764076538412E-2</c:v>
                </c:pt>
                <c:pt idx="90">
                  <c:v>1.3309606423930628E-2</c:v>
                </c:pt>
                <c:pt idx="91">
                  <c:v>1.1518643009030046E-2</c:v>
                </c:pt>
                <c:pt idx="92">
                  <c:v>9.870299431339007E-3</c:v>
                </c:pt>
                <c:pt idx="93">
                  <c:v>8.5485345827123888E-3</c:v>
                </c:pt>
                <c:pt idx="94">
                  <c:v>7.2126067325876614E-3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020352"/>
        <c:axId val="56030720"/>
      </c:scatterChart>
      <c:valAx>
        <c:axId val="56020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λd [nm]</a:t>
                </a:r>
              </a:p>
            </c:rich>
          </c:tx>
          <c:layout>
            <c:manualLayout>
              <c:xMode val="edge"/>
              <c:yMode val="edge"/>
              <c:x val="0.49662197630701566"/>
              <c:y val="0.8973747016706443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6030720"/>
        <c:crosses val="autoZero"/>
        <c:crossBetween val="midCat"/>
      </c:valAx>
      <c:valAx>
        <c:axId val="5603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Relative Emission Intensity [a.u.] </a:t>
                </a:r>
              </a:p>
            </c:rich>
          </c:tx>
          <c:layout>
            <c:manualLayout>
              <c:xMode val="edge"/>
              <c:yMode val="edge"/>
              <c:x val="3.885135135135135E-2"/>
              <c:y val="0.2434367541766109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602035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スペクトル</a:t>
            </a:r>
          </a:p>
        </c:rich>
      </c:tx>
      <c:layout>
        <c:manualLayout>
          <c:xMode val="edge"/>
          <c:yMode val="edge"/>
          <c:x val="0.44670121818529024"/>
          <c:y val="3.08056872037914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13221455328387"/>
          <c:y val="0.12085308056872038"/>
          <c:w val="0.67682006930135186"/>
          <c:h val="0.7085308056872038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スペ!$C$17</c:f>
              <c:strCache>
                <c:ptCount val="1"/>
                <c:pt idx="0">
                  <c:v>No.1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スペ!$B$18:$B$112</c:f>
              <c:numCache>
                <c:formatCode>General</c:formatCode>
                <c:ptCount val="95"/>
                <c:pt idx="0">
                  <c:v>360</c:v>
                </c:pt>
                <c:pt idx="1">
                  <c:v>365</c:v>
                </c:pt>
                <c:pt idx="2">
                  <c:v>370</c:v>
                </c:pt>
                <c:pt idx="3">
                  <c:v>375</c:v>
                </c:pt>
                <c:pt idx="4">
                  <c:v>380</c:v>
                </c:pt>
                <c:pt idx="5">
                  <c:v>385</c:v>
                </c:pt>
                <c:pt idx="6">
                  <c:v>390</c:v>
                </c:pt>
                <c:pt idx="7">
                  <c:v>395</c:v>
                </c:pt>
                <c:pt idx="8">
                  <c:v>400</c:v>
                </c:pt>
                <c:pt idx="9">
                  <c:v>405</c:v>
                </c:pt>
                <c:pt idx="10">
                  <c:v>410</c:v>
                </c:pt>
                <c:pt idx="11">
                  <c:v>415</c:v>
                </c:pt>
                <c:pt idx="12">
                  <c:v>420</c:v>
                </c:pt>
                <c:pt idx="13">
                  <c:v>425</c:v>
                </c:pt>
                <c:pt idx="14">
                  <c:v>430</c:v>
                </c:pt>
                <c:pt idx="15">
                  <c:v>435</c:v>
                </c:pt>
                <c:pt idx="16">
                  <c:v>440</c:v>
                </c:pt>
                <c:pt idx="17">
                  <c:v>445</c:v>
                </c:pt>
                <c:pt idx="18">
                  <c:v>450</c:v>
                </c:pt>
                <c:pt idx="19">
                  <c:v>455</c:v>
                </c:pt>
                <c:pt idx="20">
                  <c:v>460</c:v>
                </c:pt>
                <c:pt idx="21">
                  <c:v>465</c:v>
                </c:pt>
                <c:pt idx="22">
                  <c:v>470</c:v>
                </c:pt>
                <c:pt idx="23">
                  <c:v>475</c:v>
                </c:pt>
                <c:pt idx="24">
                  <c:v>480</c:v>
                </c:pt>
                <c:pt idx="25">
                  <c:v>485</c:v>
                </c:pt>
                <c:pt idx="26">
                  <c:v>490</c:v>
                </c:pt>
                <c:pt idx="27">
                  <c:v>495</c:v>
                </c:pt>
                <c:pt idx="28">
                  <c:v>500</c:v>
                </c:pt>
                <c:pt idx="29">
                  <c:v>505</c:v>
                </c:pt>
                <c:pt idx="30">
                  <c:v>510</c:v>
                </c:pt>
                <c:pt idx="31">
                  <c:v>515</c:v>
                </c:pt>
                <c:pt idx="32">
                  <c:v>520</c:v>
                </c:pt>
                <c:pt idx="33">
                  <c:v>525</c:v>
                </c:pt>
                <c:pt idx="34">
                  <c:v>530</c:v>
                </c:pt>
                <c:pt idx="35">
                  <c:v>535</c:v>
                </c:pt>
                <c:pt idx="36">
                  <c:v>540</c:v>
                </c:pt>
                <c:pt idx="37">
                  <c:v>545</c:v>
                </c:pt>
                <c:pt idx="38">
                  <c:v>550</c:v>
                </c:pt>
                <c:pt idx="39">
                  <c:v>555</c:v>
                </c:pt>
                <c:pt idx="40">
                  <c:v>560</c:v>
                </c:pt>
                <c:pt idx="41">
                  <c:v>565</c:v>
                </c:pt>
                <c:pt idx="42">
                  <c:v>570</c:v>
                </c:pt>
                <c:pt idx="43">
                  <c:v>575</c:v>
                </c:pt>
                <c:pt idx="44">
                  <c:v>580</c:v>
                </c:pt>
                <c:pt idx="45">
                  <c:v>585</c:v>
                </c:pt>
                <c:pt idx="46">
                  <c:v>590</c:v>
                </c:pt>
                <c:pt idx="47">
                  <c:v>595</c:v>
                </c:pt>
                <c:pt idx="48">
                  <c:v>600</c:v>
                </c:pt>
                <c:pt idx="49">
                  <c:v>605</c:v>
                </c:pt>
                <c:pt idx="50">
                  <c:v>610</c:v>
                </c:pt>
                <c:pt idx="51">
                  <c:v>615</c:v>
                </c:pt>
                <c:pt idx="52">
                  <c:v>620</c:v>
                </c:pt>
                <c:pt idx="53">
                  <c:v>625</c:v>
                </c:pt>
                <c:pt idx="54">
                  <c:v>630</c:v>
                </c:pt>
                <c:pt idx="55">
                  <c:v>635</c:v>
                </c:pt>
                <c:pt idx="56">
                  <c:v>640</c:v>
                </c:pt>
                <c:pt idx="57">
                  <c:v>645</c:v>
                </c:pt>
                <c:pt idx="58">
                  <c:v>650</c:v>
                </c:pt>
                <c:pt idx="59">
                  <c:v>655</c:v>
                </c:pt>
                <c:pt idx="60">
                  <c:v>660</c:v>
                </c:pt>
                <c:pt idx="61">
                  <c:v>665</c:v>
                </c:pt>
                <c:pt idx="62">
                  <c:v>670</c:v>
                </c:pt>
                <c:pt idx="63">
                  <c:v>675</c:v>
                </c:pt>
                <c:pt idx="64">
                  <c:v>680</c:v>
                </c:pt>
                <c:pt idx="65">
                  <c:v>685</c:v>
                </c:pt>
                <c:pt idx="66">
                  <c:v>690</c:v>
                </c:pt>
                <c:pt idx="67">
                  <c:v>695</c:v>
                </c:pt>
                <c:pt idx="68">
                  <c:v>700</c:v>
                </c:pt>
                <c:pt idx="69">
                  <c:v>705</c:v>
                </c:pt>
                <c:pt idx="70">
                  <c:v>710</c:v>
                </c:pt>
                <c:pt idx="71">
                  <c:v>715</c:v>
                </c:pt>
                <c:pt idx="72">
                  <c:v>720</c:v>
                </c:pt>
                <c:pt idx="73">
                  <c:v>725</c:v>
                </c:pt>
                <c:pt idx="74">
                  <c:v>730</c:v>
                </c:pt>
                <c:pt idx="75">
                  <c:v>735</c:v>
                </c:pt>
                <c:pt idx="76">
                  <c:v>740</c:v>
                </c:pt>
                <c:pt idx="77">
                  <c:v>745</c:v>
                </c:pt>
                <c:pt idx="78">
                  <c:v>750</c:v>
                </c:pt>
                <c:pt idx="79">
                  <c:v>755</c:v>
                </c:pt>
                <c:pt idx="80">
                  <c:v>760</c:v>
                </c:pt>
                <c:pt idx="81">
                  <c:v>765</c:v>
                </c:pt>
                <c:pt idx="82">
                  <c:v>770</c:v>
                </c:pt>
                <c:pt idx="83">
                  <c:v>775</c:v>
                </c:pt>
                <c:pt idx="84">
                  <c:v>780</c:v>
                </c:pt>
                <c:pt idx="85">
                  <c:v>785</c:v>
                </c:pt>
                <c:pt idx="86">
                  <c:v>790</c:v>
                </c:pt>
                <c:pt idx="87">
                  <c:v>795</c:v>
                </c:pt>
                <c:pt idx="88">
                  <c:v>800</c:v>
                </c:pt>
                <c:pt idx="89">
                  <c:v>805</c:v>
                </c:pt>
                <c:pt idx="90">
                  <c:v>810</c:v>
                </c:pt>
                <c:pt idx="91">
                  <c:v>815</c:v>
                </c:pt>
                <c:pt idx="92">
                  <c:v>820</c:v>
                </c:pt>
                <c:pt idx="93">
                  <c:v>825</c:v>
                </c:pt>
                <c:pt idx="94">
                  <c:v>830</c:v>
                </c:pt>
              </c:numCache>
            </c:numRef>
          </c:xVal>
          <c:yVal>
            <c:numRef>
              <c:f>スペ!$C$18:$C$112</c:f>
              <c:numCache>
                <c:formatCode>General</c:formatCode>
                <c:ptCount val="95"/>
                <c:pt idx="0">
                  <c:v>2.3646653772148001E-4</c:v>
                </c:pt>
                <c:pt idx="1">
                  <c:v>1.97176053128136E-4</c:v>
                </c:pt>
                <c:pt idx="2">
                  <c:v>2.4759766198292801E-4</c:v>
                </c:pt>
                <c:pt idx="3">
                  <c:v>6.2998020896405595E-4</c:v>
                </c:pt>
                <c:pt idx="4">
                  <c:v>3.7915898636262601E-4</c:v>
                </c:pt>
                <c:pt idx="5">
                  <c:v>4.57230695546748E-4</c:v>
                </c:pt>
                <c:pt idx="6">
                  <c:v>1.7677915409304901E-4</c:v>
                </c:pt>
                <c:pt idx="7">
                  <c:v>1.7168643393355599E-4</c:v>
                </c:pt>
                <c:pt idx="8">
                  <c:v>2.0066119240127401E-4</c:v>
                </c:pt>
                <c:pt idx="9">
                  <c:v>1.1055967656896501E-4</c:v>
                </c:pt>
                <c:pt idx="10">
                  <c:v>9.7173786551150206E-5</c:v>
                </c:pt>
                <c:pt idx="11">
                  <c:v>1.2787235597162399E-4</c:v>
                </c:pt>
                <c:pt idx="12">
                  <c:v>2.3267965583987499E-4</c:v>
                </c:pt>
                <c:pt idx="13">
                  <c:v>3.93875126842514E-4</c:v>
                </c:pt>
                <c:pt idx="14">
                  <c:v>7.1858038531140303E-4</c:v>
                </c:pt>
                <c:pt idx="15">
                  <c:v>1.2305195021645799E-3</c:v>
                </c:pt>
                <c:pt idx="16">
                  <c:v>2.04651972269223E-3</c:v>
                </c:pt>
                <c:pt idx="17">
                  <c:v>3.2429450194062801E-3</c:v>
                </c:pt>
                <c:pt idx="18">
                  <c:v>4.9138054379344303E-3</c:v>
                </c:pt>
                <c:pt idx="19">
                  <c:v>6.6725650529149902E-3</c:v>
                </c:pt>
                <c:pt idx="20">
                  <c:v>6.5407151781146601E-3</c:v>
                </c:pt>
                <c:pt idx="21">
                  <c:v>4.5971672258779397E-3</c:v>
                </c:pt>
                <c:pt idx="22">
                  <c:v>3.2885107624101499E-3</c:v>
                </c:pt>
                <c:pt idx="23">
                  <c:v>2.7403877614951199E-3</c:v>
                </c:pt>
                <c:pt idx="24">
                  <c:v>2.32809201071498E-3</c:v>
                </c:pt>
                <c:pt idx="25">
                  <c:v>2.3396028263154901E-3</c:v>
                </c:pt>
                <c:pt idx="26">
                  <c:v>2.8692346591452701E-3</c:v>
                </c:pt>
                <c:pt idx="27">
                  <c:v>3.6652892733920902E-3</c:v>
                </c:pt>
                <c:pt idx="28">
                  <c:v>4.5918727222126398E-3</c:v>
                </c:pt>
                <c:pt idx="29">
                  <c:v>5.5551540378340203E-3</c:v>
                </c:pt>
                <c:pt idx="30">
                  <c:v>6.3918331677228404E-3</c:v>
                </c:pt>
                <c:pt idx="31">
                  <c:v>6.9317980566134503E-3</c:v>
                </c:pt>
                <c:pt idx="32">
                  <c:v>7.2749089216806598E-3</c:v>
                </c:pt>
                <c:pt idx="33">
                  <c:v>7.4977996152286496E-3</c:v>
                </c:pt>
                <c:pt idx="34">
                  <c:v>7.6253061335427204E-3</c:v>
                </c:pt>
                <c:pt idx="35">
                  <c:v>7.7756516202119397E-3</c:v>
                </c:pt>
                <c:pt idx="36">
                  <c:v>7.9603343855592697E-3</c:v>
                </c:pt>
                <c:pt idx="37">
                  <c:v>8.1552830690417091E-3</c:v>
                </c:pt>
                <c:pt idx="38">
                  <c:v>8.3985534621150108E-3</c:v>
                </c:pt>
                <c:pt idx="39">
                  <c:v>8.6598892873793205E-3</c:v>
                </c:pt>
                <c:pt idx="40">
                  <c:v>8.9201223819630592E-3</c:v>
                </c:pt>
                <c:pt idx="41">
                  <c:v>9.1964127636067396E-3</c:v>
                </c:pt>
                <c:pt idx="42">
                  <c:v>9.4710752893445594E-3</c:v>
                </c:pt>
                <c:pt idx="43">
                  <c:v>9.7506972543143795E-3</c:v>
                </c:pt>
                <c:pt idx="44">
                  <c:v>1.00660539195556E-2</c:v>
                </c:pt>
                <c:pt idx="45">
                  <c:v>1.04461457293004E-2</c:v>
                </c:pt>
                <c:pt idx="46">
                  <c:v>1.08457000055094E-2</c:v>
                </c:pt>
                <c:pt idx="47">
                  <c:v>1.1294271861573901E-2</c:v>
                </c:pt>
                <c:pt idx="48">
                  <c:v>1.17878117575174E-2</c:v>
                </c:pt>
                <c:pt idx="49">
                  <c:v>1.23279427521416E-2</c:v>
                </c:pt>
                <c:pt idx="50">
                  <c:v>1.28814619935633E-2</c:v>
                </c:pt>
                <c:pt idx="51">
                  <c:v>1.33769684077111E-2</c:v>
                </c:pt>
                <c:pt idx="52">
                  <c:v>1.37748936018067E-2</c:v>
                </c:pt>
                <c:pt idx="53">
                  <c:v>1.4061629083697199E-2</c:v>
                </c:pt>
                <c:pt idx="54">
                  <c:v>1.41846577914651E-2</c:v>
                </c:pt>
                <c:pt idx="55">
                  <c:v>1.4144341509138399E-2</c:v>
                </c:pt>
                <c:pt idx="56">
                  <c:v>1.3935068904160099E-2</c:v>
                </c:pt>
                <c:pt idx="57">
                  <c:v>1.35715229530372E-2</c:v>
                </c:pt>
                <c:pt idx="58">
                  <c:v>1.3074804827645401E-2</c:v>
                </c:pt>
                <c:pt idx="59">
                  <c:v>1.24276562775163E-2</c:v>
                </c:pt>
                <c:pt idx="60">
                  <c:v>1.16882822095839E-2</c:v>
                </c:pt>
                <c:pt idx="61">
                  <c:v>1.08699088695759E-2</c:v>
                </c:pt>
                <c:pt idx="62">
                  <c:v>1.0021040694461599E-2</c:v>
                </c:pt>
                <c:pt idx="63">
                  <c:v>9.1565819555927495E-3</c:v>
                </c:pt>
                <c:pt idx="64">
                  <c:v>8.2904930562804399E-3</c:v>
                </c:pt>
                <c:pt idx="65">
                  <c:v>7.4425294273842198E-3</c:v>
                </c:pt>
                <c:pt idx="66">
                  <c:v>6.64572023370454E-3</c:v>
                </c:pt>
                <c:pt idx="67">
                  <c:v>5.8936137047452498E-3</c:v>
                </c:pt>
                <c:pt idx="68">
                  <c:v>5.20325150783964E-3</c:v>
                </c:pt>
                <c:pt idx="69">
                  <c:v>4.5829509341011702E-3</c:v>
                </c:pt>
                <c:pt idx="70">
                  <c:v>3.9918507978336003E-3</c:v>
                </c:pt>
                <c:pt idx="71">
                  <c:v>3.4711451304937999E-3</c:v>
                </c:pt>
                <c:pt idx="72">
                  <c:v>3.0019242808067802E-3</c:v>
                </c:pt>
                <c:pt idx="73">
                  <c:v>2.5991621922349501E-3</c:v>
                </c:pt>
                <c:pt idx="74">
                  <c:v>2.24779291532602E-3</c:v>
                </c:pt>
                <c:pt idx="75">
                  <c:v>1.9327922099336499E-3</c:v>
                </c:pt>
                <c:pt idx="76">
                  <c:v>1.66398187929919E-3</c:v>
                </c:pt>
                <c:pt idx="77">
                  <c:v>1.4302252859345599E-3</c:v>
                </c:pt>
                <c:pt idx="78">
                  <c:v>1.2273653123831901E-3</c:v>
                </c:pt>
                <c:pt idx="79">
                  <c:v>1.0511552533698E-3</c:v>
                </c:pt>
                <c:pt idx="80">
                  <c:v>9.0250543176653101E-4</c:v>
                </c:pt>
                <c:pt idx="81">
                  <c:v>7.7422783912269998E-4</c:v>
                </c:pt>
                <c:pt idx="82">
                  <c:v>6.6101698666098301E-4</c:v>
                </c:pt>
                <c:pt idx="83">
                  <c:v>5.6541679799106896E-4</c:v>
                </c:pt>
                <c:pt idx="84">
                  <c:v>4.7979616263938899E-4</c:v>
                </c:pt>
                <c:pt idx="85">
                  <c:v>4.09464305378744E-4</c:v>
                </c:pt>
                <c:pt idx="86">
                  <c:v>3.4803205731202098E-4</c:v>
                </c:pt>
                <c:pt idx="87">
                  <c:v>2.9791530849694202E-4</c:v>
                </c:pt>
                <c:pt idx="88">
                  <c:v>2.57105720446277E-4</c:v>
                </c:pt>
                <c:pt idx="89">
                  <c:v>2.17666416812068E-4</c:v>
                </c:pt>
                <c:pt idx="90">
                  <c:v>1.88156365853546E-4</c:v>
                </c:pt>
                <c:pt idx="91">
                  <c:v>1.6234502013635999E-4</c:v>
                </c:pt>
                <c:pt idx="92">
                  <c:v>1.39911756865617E-4</c:v>
                </c:pt>
                <c:pt idx="93">
                  <c:v>1.20455876918519E-4</c:v>
                </c:pt>
                <c:pt idx="94">
                  <c:v>1.02417708544358E-4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スペ!$D$17</c:f>
              <c:strCache>
                <c:ptCount val="1"/>
                <c:pt idx="0">
                  <c:v>No.2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スペ!$B$18:$B$112</c:f>
              <c:numCache>
                <c:formatCode>General</c:formatCode>
                <c:ptCount val="95"/>
                <c:pt idx="0">
                  <c:v>360</c:v>
                </c:pt>
                <c:pt idx="1">
                  <c:v>365</c:v>
                </c:pt>
                <c:pt idx="2">
                  <c:v>370</c:v>
                </c:pt>
                <c:pt idx="3">
                  <c:v>375</c:v>
                </c:pt>
                <c:pt idx="4">
                  <c:v>380</c:v>
                </c:pt>
                <c:pt idx="5">
                  <c:v>385</c:v>
                </c:pt>
                <c:pt idx="6">
                  <c:v>390</c:v>
                </c:pt>
                <c:pt idx="7">
                  <c:v>395</c:v>
                </c:pt>
                <c:pt idx="8">
                  <c:v>400</c:v>
                </c:pt>
                <c:pt idx="9">
                  <c:v>405</c:v>
                </c:pt>
                <c:pt idx="10">
                  <c:v>410</c:v>
                </c:pt>
                <c:pt idx="11">
                  <c:v>415</c:v>
                </c:pt>
                <c:pt idx="12">
                  <c:v>420</c:v>
                </c:pt>
                <c:pt idx="13">
                  <c:v>425</c:v>
                </c:pt>
                <c:pt idx="14">
                  <c:v>430</c:v>
                </c:pt>
                <c:pt idx="15">
                  <c:v>435</c:v>
                </c:pt>
                <c:pt idx="16">
                  <c:v>440</c:v>
                </c:pt>
                <c:pt idx="17">
                  <c:v>445</c:v>
                </c:pt>
                <c:pt idx="18">
                  <c:v>450</c:v>
                </c:pt>
                <c:pt idx="19">
                  <c:v>455</c:v>
                </c:pt>
                <c:pt idx="20">
                  <c:v>460</c:v>
                </c:pt>
                <c:pt idx="21">
                  <c:v>465</c:v>
                </c:pt>
                <c:pt idx="22">
                  <c:v>470</c:v>
                </c:pt>
                <c:pt idx="23">
                  <c:v>475</c:v>
                </c:pt>
                <c:pt idx="24">
                  <c:v>480</c:v>
                </c:pt>
                <c:pt idx="25">
                  <c:v>485</c:v>
                </c:pt>
                <c:pt idx="26">
                  <c:v>490</c:v>
                </c:pt>
                <c:pt idx="27">
                  <c:v>495</c:v>
                </c:pt>
                <c:pt idx="28">
                  <c:v>500</c:v>
                </c:pt>
                <c:pt idx="29">
                  <c:v>505</c:v>
                </c:pt>
                <c:pt idx="30">
                  <c:v>510</c:v>
                </c:pt>
                <c:pt idx="31">
                  <c:v>515</c:v>
                </c:pt>
                <c:pt idx="32">
                  <c:v>520</c:v>
                </c:pt>
                <c:pt idx="33">
                  <c:v>525</c:v>
                </c:pt>
                <c:pt idx="34">
                  <c:v>530</c:v>
                </c:pt>
                <c:pt idx="35">
                  <c:v>535</c:v>
                </c:pt>
                <c:pt idx="36">
                  <c:v>540</c:v>
                </c:pt>
                <c:pt idx="37">
                  <c:v>545</c:v>
                </c:pt>
                <c:pt idx="38">
                  <c:v>550</c:v>
                </c:pt>
                <c:pt idx="39">
                  <c:v>555</c:v>
                </c:pt>
                <c:pt idx="40">
                  <c:v>560</c:v>
                </c:pt>
                <c:pt idx="41">
                  <c:v>565</c:v>
                </c:pt>
                <c:pt idx="42">
                  <c:v>570</c:v>
                </c:pt>
                <c:pt idx="43">
                  <c:v>575</c:v>
                </c:pt>
                <c:pt idx="44">
                  <c:v>580</c:v>
                </c:pt>
                <c:pt idx="45">
                  <c:v>585</c:v>
                </c:pt>
                <c:pt idx="46">
                  <c:v>590</c:v>
                </c:pt>
                <c:pt idx="47">
                  <c:v>595</c:v>
                </c:pt>
                <c:pt idx="48">
                  <c:v>600</c:v>
                </c:pt>
                <c:pt idx="49">
                  <c:v>605</c:v>
                </c:pt>
                <c:pt idx="50">
                  <c:v>610</c:v>
                </c:pt>
                <c:pt idx="51">
                  <c:v>615</c:v>
                </c:pt>
                <c:pt idx="52">
                  <c:v>620</c:v>
                </c:pt>
                <c:pt idx="53">
                  <c:v>625</c:v>
                </c:pt>
                <c:pt idx="54">
                  <c:v>630</c:v>
                </c:pt>
                <c:pt idx="55">
                  <c:v>635</c:v>
                </c:pt>
                <c:pt idx="56">
                  <c:v>640</c:v>
                </c:pt>
                <c:pt idx="57">
                  <c:v>645</c:v>
                </c:pt>
                <c:pt idx="58">
                  <c:v>650</c:v>
                </c:pt>
                <c:pt idx="59">
                  <c:v>655</c:v>
                </c:pt>
                <c:pt idx="60">
                  <c:v>660</c:v>
                </c:pt>
                <c:pt idx="61">
                  <c:v>665</c:v>
                </c:pt>
                <c:pt idx="62">
                  <c:v>670</c:v>
                </c:pt>
                <c:pt idx="63">
                  <c:v>675</c:v>
                </c:pt>
                <c:pt idx="64">
                  <c:v>680</c:v>
                </c:pt>
                <c:pt idx="65">
                  <c:v>685</c:v>
                </c:pt>
                <c:pt idx="66">
                  <c:v>690</c:v>
                </c:pt>
                <c:pt idx="67">
                  <c:v>695</c:v>
                </c:pt>
                <c:pt idx="68">
                  <c:v>700</c:v>
                </c:pt>
                <c:pt idx="69">
                  <c:v>705</c:v>
                </c:pt>
                <c:pt idx="70">
                  <c:v>710</c:v>
                </c:pt>
                <c:pt idx="71">
                  <c:v>715</c:v>
                </c:pt>
                <c:pt idx="72">
                  <c:v>720</c:v>
                </c:pt>
                <c:pt idx="73">
                  <c:v>725</c:v>
                </c:pt>
                <c:pt idx="74">
                  <c:v>730</c:v>
                </c:pt>
                <c:pt idx="75">
                  <c:v>735</c:v>
                </c:pt>
                <c:pt idx="76">
                  <c:v>740</c:v>
                </c:pt>
                <c:pt idx="77">
                  <c:v>745</c:v>
                </c:pt>
                <c:pt idx="78">
                  <c:v>750</c:v>
                </c:pt>
                <c:pt idx="79">
                  <c:v>755</c:v>
                </c:pt>
                <c:pt idx="80">
                  <c:v>760</c:v>
                </c:pt>
                <c:pt idx="81">
                  <c:v>765</c:v>
                </c:pt>
                <c:pt idx="82">
                  <c:v>770</c:v>
                </c:pt>
                <c:pt idx="83">
                  <c:v>775</c:v>
                </c:pt>
                <c:pt idx="84">
                  <c:v>780</c:v>
                </c:pt>
                <c:pt idx="85">
                  <c:v>785</c:v>
                </c:pt>
                <c:pt idx="86">
                  <c:v>790</c:v>
                </c:pt>
                <c:pt idx="87">
                  <c:v>795</c:v>
                </c:pt>
                <c:pt idx="88">
                  <c:v>800</c:v>
                </c:pt>
                <c:pt idx="89">
                  <c:v>805</c:v>
                </c:pt>
                <c:pt idx="90">
                  <c:v>810</c:v>
                </c:pt>
                <c:pt idx="91">
                  <c:v>815</c:v>
                </c:pt>
                <c:pt idx="92">
                  <c:v>820</c:v>
                </c:pt>
                <c:pt idx="93">
                  <c:v>825</c:v>
                </c:pt>
                <c:pt idx="94">
                  <c:v>830</c:v>
                </c:pt>
              </c:numCache>
            </c:numRef>
          </c:xVal>
          <c:yVal>
            <c:numRef>
              <c:f>スペ!$D$18:$D$112</c:f>
              <c:numCache>
                <c:formatCode>General</c:formatCode>
                <c:ptCount val="95"/>
                <c:pt idx="0">
                  <c:v>2.77135255745869E-4</c:v>
                </c:pt>
                <c:pt idx="1">
                  <c:v>3.3457411611763902E-4</c:v>
                </c:pt>
                <c:pt idx="2">
                  <c:v>5.16222538659098E-4</c:v>
                </c:pt>
                <c:pt idx="3">
                  <c:v>4.6923002104636398E-4</c:v>
                </c:pt>
                <c:pt idx="4">
                  <c:v>5.08269328790443E-4</c:v>
                </c:pt>
                <c:pt idx="5">
                  <c:v>3.6060687288482602E-4</c:v>
                </c:pt>
                <c:pt idx="6">
                  <c:v>1.4153205668865099E-4</c:v>
                </c:pt>
                <c:pt idx="7">
                  <c:v>2.22189317481174E-4</c:v>
                </c:pt>
                <c:pt idx="8">
                  <c:v>2.12468530383639E-4</c:v>
                </c:pt>
                <c:pt idx="9">
                  <c:v>1.15365284369037E-4</c:v>
                </c:pt>
                <c:pt idx="10">
                  <c:v>9.39000248911443E-5</c:v>
                </c:pt>
                <c:pt idx="11">
                  <c:v>1.3737686304391E-4</c:v>
                </c:pt>
                <c:pt idx="12">
                  <c:v>2.2102791724093199E-4</c:v>
                </c:pt>
                <c:pt idx="13">
                  <c:v>4.0463230399138099E-4</c:v>
                </c:pt>
                <c:pt idx="14">
                  <c:v>6.8253661495768002E-4</c:v>
                </c:pt>
                <c:pt idx="15">
                  <c:v>1.20662191966531E-3</c:v>
                </c:pt>
                <c:pt idx="16">
                  <c:v>2.0109602133548299E-3</c:v>
                </c:pt>
                <c:pt idx="17">
                  <c:v>3.1846703989596302E-3</c:v>
                </c:pt>
                <c:pt idx="18">
                  <c:v>4.8450547409417902E-3</c:v>
                </c:pt>
                <c:pt idx="19">
                  <c:v>6.5738600420483899E-3</c:v>
                </c:pt>
                <c:pt idx="20">
                  <c:v>6.4880099041662101E-3</c:v>
                </c:pt>
                <c:pt idx="21">
                  <c:v>4.5759324559773804E-3</c:v>
                </c:pt>
                <c:pt idx="22">
                  <c:v>3.2733275788579298E-3</c:v>
                </c:pt>
                <c:pt idx="23">
                  <c:v>2.7424030894450699E-3</c:v>
                </c:pt>
                <c:pt idx="24">
                  <c:v>2.32280886419477E-3</c:v>
                </c:pt>
                <c:pt idx="25">
                  <c:v>2.3350264091736802E-3</c:v>
                </c:pt>
                <c:pt idx="26">
                  <c:v>2.8475944267456698E-3</c:v>
                </c:pt>
                <c:pt idx="27">
                  <c:v>3.62610411682669E-3</c:v>
                </c:pt>
                <c:pt idx="28">
                  <c:v>4.5454448485882102E-3</c:v>
                </c:pt>
                <c:pt idx="29">
                  <c:v>5.5123408973774303E-3</c:v>
                </c:pt>
                <c:pt idx="30">
                  <c:v>6.3508747245494797E-3</c:v>
                </c:pt>
                <c:pt idx="31">
                  <c:v>6.9006956960838599E-3</c:v>
                </c:pt>
                <c:pt idx="32">
                  <c:v>7.2493134006238096E-3</c:v>
                </c:pt>
                <c:pt idx="33">
                  <c:v>7.4769692595132902E-3</c:v>
                </c:pt>
                <c:pt idx="34">
                  <c:v>7.5963033549358702E-3</c:v>
                </c:pt>
                <c:pt idx="35">
                  <c:v>7.74495483099255E-3</c:v>
                </c:pt>
                <c:pt idx="36">
                  <c:v>7.9215976968138695E-3</c:v>
                </c:pt>
                <c:pt idx="37">
                  <c:v>8.1434274414206708E-3</c:v>
                </c:pt>
                <c:pt idx="38">
                  <c:v>8.35710062439202E-3</c:v>
                </c:pt>
                <c:pt idx="39">
                  <c:v>8.6422484759118602E-3</c:v>
                </c:pt>
                <c:pt idx="40">
                  <c:v>8.9064752208171394E-3</c:v>
                </c:pt>
                <c:pt idx="41">
                  <c:v>9.1822964092621792E-3</c:v>
                </c:pt>
                <c:pt idx="42">
                  <c:v>9.4363138777476905E-3</c:v>
                </c:pt>
                <c:pt idx="43">
                  <c:v>9.7065816182630403E-3</c:v>
                </c:pt>
                <c:pt idx="44">
                  <c:v>1.0034834821942E-2</c:v>
                </c:pt>
                <c:pt idx="45">
                  <c:v>1.04151088330291E-2</c:v>
                </c:pt>
                <c:pt idx="46">
                  <c:v>1.0812152055312999E-2</c:v>
                </c:pt>
                <c:pt idx="47">
                  <c:v>1.1259277124933201E-2</c:v>
                </c:pt>
                <c:pt idx="48">
                  <c:v>1.1741525972024E-2</c:v>
                </c:pt>
                <c:pt idx="49">
                  <c:v>1.2277028069963501E-2</c:v>
                </c:pt>
                <c:pt idx="50">
                  <c:v>1.28396421248138E-2</c:v>
                </c:pt>
                <c:pt idx="51">
                  <c:v>1.33379734458863E-2</c:v>
                </c:pt>
                <c:pt idx="52">
                  <c:v>1.3720171221851299E-2</c:v>
                </c:pt>
                <c:pt idx="53">
                  <c:v>1.4009977186365E-2</c:v>
                </c:pt>
                <c:pt idx="54">
                  <c:v>1.41216141574268E-2</c:v>
                </c:pt>
                <c:pt idx="55">
                  <c:v>1.40988319685901E-2</c:v>
                </c:pt>
                <c:pt idx="56">
                  <c:v>1.38712193729738E-2</c:v>
                </c:pt>
                <c:pt idx="57">
                  <c:v>1.3510374232164399E-2</c:v>
                </c:pt>
                <c:pt idx="58">
                  <c:v>1.2994928913574301E-2</c:v>
                </c:pt>
                <c:pt idx="59">
                  <c:v>1.2364195230383099E-2</c:v>
                </c:pt>
                <c:pt idx="60">
                  <c:v>1.16348732334789E-2</c:v>
                </c:pt>
                <c:pt idx="61">
                  <c:v>1.0812229312254999E-2</c:v>
                </c:pt>
                <c:pt idx="62">
                  <c:v>9.9712698484237198E-3</c:v>
                </c:pt>
                <c:pt idx="63">
                  <c:v>9.1087729295617603E-3</c:v>
                </c:pt>
                <c:pt idx="64">
                  <c:v>8.2493903469213307E-3</c:v>
                </c:pt>
                <c:pt idx="65">
                  <c:v>7.4129260564639804E-3</c:v>
                </c:pt>
                <c:pt idx="66">
                  <c:v>6.61150725929533E-3</c:v>
                </c:pt>
                <c:pt idx="67">
                  <c:v>5.8643027310322001E-3</c:v>
                </c:pt>
                <c:pt idx="68">
                  <c:v>5.1807822396739102E-3</c:v>
                </c:pt>
                <c:pt idx="69">
                  <c:v>4.5698887904053803E-3</c:v>
                </c:pt>
                <c:pt idx="70">
                  <c:v>3.9766131270421801E-3</c:v>
                </c:pt>
                <c:pt idx="71">
                  <c:v>3.4589579874774101E-3</c:v>
                </c:pt>
                <c:pt idx="72">
                  <c:v>3.0007704002039302E-3</c:v>
                </c:pt>
                <c:pt idx="73">
                  <c:v>2.5981886573777299E-3</c:v>
                </c:pt>
                <c:pt idx="74">
                  <c:v>2.24519075058659E-3</c:v>
                </c:pt>
                <c:pt idx="75">
                  <c:v>1.92830974377333E-3</c:v>
                </c:pt>
                <c:pt idx="76">
                  <c:v>1.6603430983205901E-3</c:v>
                </c:pt>
                <c:pt idx="77">
                  <c:v>1.4285766542319E-3</c:v>
                </c:pt>
                <c:pt idx="78">
                  <c:v>1.2224778505447701E-3</c:v>
                </c:pt>
                <c:pt idx="79">
                  <c:v>1.04828326931154E-3</c:v>
                </c:pt>
                <c:pt idx="80">
                  <c:v>8.99314535868902E-4</c:v>
                </c:pt>
                <c:pt idx="81">
                  <c:v>7.7286383279747903E-4</c:v>
                </c:pt>
                <c:pt idx="82">
                  <c:v>6.65220047943378E-4</c:v>
                </c:pt>
                <c:pt idx="83">
                  <c:v>5.6780638431875696E-4</c:v>
                </c:pt>
                <c:pt idx="84">
                  <c:v>4.8211788304209301E-4</c:v>
                </c:pt>
                <c:pt idx="85">
                  <c:v>4.0922903968049998E-4</c:v>
                </c:pt>
                <c:pt idx="86">
                  <c:v>3.4963352103453297E-4</c:v>
                </c:pt>
                <c:pt idx="87">
                  <c:v>3.0150343414390101E-4</c:v>
                </c:pt>
                <c:pt idx="88">
                  <c:v>2.5611737875408001E-4</c:v>
                </c:pt>
                <c:pt idx="89">
                  <c:v>2.1790032734475E-4</c:v>
                </c:pt>
                <c:pt idx="90">
                  <c:v>1.8858897311495299E-4</c:v>
                </c:pt>
                <c:pt idx="91">
                  <c:v>1.6370482135944701E-4</c:v>
                </c:pt>
                <c:pt idx="92">
                  <c:v>1.39479623054858E-4</c:v>
                </c:pt>
                <c:pt idx="93">
                  <c:v>1.2152126774424501E-4</c:v>
                </c:pt>
                <c:pt idx="94">
                  <c:v>1.01744299088677E-4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スペ!$E$17</c:f>
              <c:strCache>
                <c:ptCount val="1"/>
                <c:pt idx="0">
                  <c:v>No.**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スペ!$B$18:$B$112</c:f>
              <c:numCache>
                <c:formatCode>General</c:formatCode>
                <c:ptCount val="95"/>
                <c:pt idx="0">
                  <c:v>360</c:v>
                </c:pt>
                <c:pt idx="1">
                  <c:v>365</c:v>
                </c:pt>
                <c:pt idx="2">
                  <c:v>370</c:v>
                </c:pt>
                <c:pt idx="3">
                  <c:v>375</c:v>
                </c:pt>
                <c:pt idx="4">
                  <c:v>380</c:v>
                </c:pt>
                <c:pt idx="5">
                  <c:v>385</c:v>
                </c:pt>
                <c:pt idx="6">
                  <c:v>390</c:v>
                </c:pt>
                <c:pt idx="7">
                  <c:v>395</c:v>
                </c:pt>
                <c:pt idx="8">
                  <c:v>400</c:v>
                </c:pt>
                <c:pt idx="9">
                  <c:v>405</c:v>
                </c:pt>
                <c:pt idx="10">
                  <c:v>410</c:v>
                </c:pt>
                <c:pt idx="11">
                  <c:v>415</c:v>
                </c:pt>
                <c:pt idx="12">
                  <c:v>420</c:v>
                </c:pt>
                <c:pt idx="13">
                  <c:v>425</c:v>
                </c:pt>
                <c:pt idx="14">
                  <c:v>430</c:v>
                </c:pt>
                <c:pt idx="15">
                  <c:v>435</c:v>
                </c:pt>
                <c:pt idx="16">
                  <c:v>440</c:v>
                </c:pt>
                <c:pt idx="17">
                  <c:v>445</c:v>
                </c:pt>
                <c:pt idx="18">
                  <c:v>450</c:v>
                </c:pt>
                <c:pt idx="19">
                  <c:v>455</c:v>
                </c:pt>
                <c:pt idx="20">
                  <c:v>460</c:v>
                </c:pt>
                <c:pt idx="21">
                  <c:v>465</c:v>
                </c:pt>
                <c:pt idx="22">
                  <c:v>470</c:v>
                </c:pt>
                <c:pt idx="23">
                  <c:v>475</c:v>
                </c:pt>
                <c:pt idx="24">
                  <c:v>480</c:v>
                </c:pt>
                <c:pt idx="25">
                  <c:v>485</c:v>
                </c:pt>
                <c:pt idx="26">
                  <c:v>490</c:v>
                </c:pt>
                <c:pt idx="27">
                  <c:v>495</c:v>
                </c:pt>
                <c:pt idx="28">
                  <c:v>500</c:v>
                </c:pt>
                <c:pt idx="29">
                  <c:v>505</c:v>
                </c:pt>
                <c:pt idx="30">
                  <c:v>510</c:v>
                </c:pt>
                <c:pt idx="31">
                  <c:v>515</c:v>
                </c:pt>
                <c:pt idx="32">
                  <c:v>520</c:v>
                </c:pt>
                <c:pt idx="33">
                  <c:v>525</c:v>
                </c:pt>
                <c:pt idx="34">
                  <c:v>530</c:v>
                </c:pt>
                <c:pt idx="35">
                  <c:v>535</c:v>
                </c:pt>
                <c:pt idx="36">
                  <c:v>540</c:v>
                </c:pt>
                <c:pt idx="37">
                  <c:v>545</c:v>
                </c:pt>
                <c:pt idx="38">
                  <c:v>550</c:v>
                </c:pt>
                <c:pt idx="39">
                  <c:v>555</c:v>
                </c:pt>
                <c:pt idx="40">
                  <c:v>560</c:v>
                </c:pt>
                <c:pt idx="41">
                  <c:v>565</c:v>
                </c:pt>
                <c:pt idx="42">
                  <c:v>570</c:v>
                </c:pt>
                <c:pt idx="43">
                  <c:v>575</c:v>
                </c:pt>
                <c:pt idx="44">
                  <c:v>580</c:v>
                </c:pt>
                <c:pt idx="45">
                  <c:v>585</c:v>
                </c:pt>
                <c:pt idx="46">
                  <c:v>590</c:v>
                </c:pt>
                <c:pt idx="47">
                  <c:v>595</c:v>
                </c:pt>
                <c:pt idx="48">
                  <c:v>600</c:v>
                </c:pt>
                <c:pt idx="49">
                  <c:v>605</c:v>
                </c:pt>
                <c:pt idx="50">
                  <c:v>610</c:v>
                </c:pt>
                <c:pt idx="51">
                  <c:v>615</c:v>
                </c:pt>
                <c:pt idx="52">
                  <c:v>620</c:v>
                </c:pt>
                <c:pt idx="53">
                  <c:v>625</c:v>
                </c:pt>
                <c:pt idx="54">
                  <c:v>630</c:v>
                </c:pt>
                <c:pt idx="55">
                  <c:v>635</c:v>
                </c:pt>
                <c:pt idx="56">
                  <c:v>640</c:v>
                </c:pt>
                <c:pt idx="57">
                  <c:v>645</c:v>
                </c:pt>
                <c:pt idx="58">
                  <c:v>650</c:v>
                </c:pt>
                <c:pt idx="59">
                  <c:v>655</c:v>
                </c:pt>
                <c:pt idx="60">
                  <c:v>660</c:v>
                </c:pt>
                <c:pt idx="61">
                  <c:v>665</c:v>
                </c:pt>
                <c:pt idx="62">
                  <c:v>670</c:v>
                </c:pt>
                <c:pt idx="63">
                  <c:v>675</c:v>
                </c:pt>
                <c:pt idx="64">
                  <c:v>680</c:v>
                </c:pt>
                <c:pt idx="65">
                  <c:v>685</c:v>
                </c:pt>
                <c:pt idx="66">
                  <c:v>690</c:v>
                </c:pt>
                <c:pt idx="67">
                  <c:v>695</c:v>
                </c:pt>
                <c:pt idx="68">
                  <c:v>700</c:v>
                </c:pt>
                <c:pt idx="69">
                  <c:v>705</c:v>
                </c:pt>
                <c:pt idx="70">
                  <c:v>710</c:v>
                </c:pt>
                <c:pt idx="71">
                  <c:v>715</c:v>
                </c:pt>
                <c:pt idx="72">
                  <c:v>720</c:v>
                </c:pt>
                <c:pt idx="73">
                  <c:v>725</c:v>
                </c:pt>
                <c:pt idx="74">
                  <c:v>730</c:v>
                </c:pt>
                <c:pt idx="75">
                  <c:v>735</c:v>
                </c:pt>
                <c:pt idx="76">
                  <c:v>740</c:v>
                </c:pt>
                <c:pt idx="77">
                  <c:v>745</c:v>
                </c:pt>
                <c:pt idx="78">
                  <c:v>750</c:v>
                </c:pt>
                <c:pt idx="79">
                  <c:v>755</c:v>
                </c:pt>
                <c:pt idx="80">
                  <c:v>760</c:v>
                </c:pt>
                <c:pt idx="81">
                  <c:v>765</c:v>
                </c:pt>
                <c:pt idx="82">
                  <c:v>770</c:v>
                </c:pt>
                <c:pt idx="83">
                  <c:v>775</c:v>
                </c:pt>
                <c:pt idx="84">
                  <c:v>780</c:v>
                </c:pt>
                <c:pt idx="85">
                  <c:v>785</c:v>
                </c:pt>
                <c:pt idx="86">
                  <c:v>790</c:v>
                </c:pt>
                <c:pt idx="87">
                  <c:v>795</c:v>
                </c:pt>
                <c:pt idx="88">
                  <c:v>800</c:v>
                </c:pt>
                <c:pt idx="89">
                  <c:v>805</c:v>
                </c:pt>
                <c:pt idx="90">
                  <c:v>810</c:v>
                </c:pt>
                <c:pt idx="91">
                  <c:v>815</c:v>
                </c:pt>
                <c:pt idx="92">
                  <c:v>820</c:v>
                </c:pt>
                <c:pt idx="93">
                  <c:v>825</c:v>
                </c:pt>
                <c:pt idx="94">
                  <c:v>830</c:v>
                </c:pt>
              </c:numCache>
            </c:numRef>
          </c:xVal>
          <c:yVal>
            <c:numRef>
              <c:f>スペ!$E$18:$E$112</c:f>
              <c:numCache>
                <c:formatCode>General</c:formatCode>
                <c:ptCount val="9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150272"/>
        <c:axId val="56156544"/>
      </c:scatterChart>
      <c:valAx>
        <c:axId val="56150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メイリオ"/>
                    <a:ea typeface="メイリオ"/>
                    <a:cs typeface="メイリオ"/>
                  </a:defRPr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λd [nm]</a:t>
                </a:r>
              </a:p>
            </c:rich>
          </c:tx>
          <c:layout>
            <c:manualLayout>
              <c:xMode val="edge"/>
              <c:yMode val="edge"/>
              <c:x val="0.43316483916667775"/>
              <c:y val="0.89810426540284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6156544"/>
        <c:crosses val="autoZero"/>
        <c:crossBetween val="midCat"/>
      </c:valAx>
      <c:valAx>
        <c:axId val="56156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en-US"/>
                  <a:t>Emission Intensity [mW] </a:t>
                </a:r>
              </a:p>
            </c:rich>
          </c:tx>
          <c:layout>
            <c:manualLayout>
              <c:xMode val="edge"/>
              <c:yMode val="edge"/>
              <c:x val="3.8917089678510999E-2"/>
              <c:y val="0.3056872037914691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615027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294558357870232"/>
          <c:y val="0.3981042654028436"/>
          <c:w val="0.12013554143295535"/>
          <c:h val="0.1445497630331753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99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HI-ver.2</c:v>
          </c:tx>
          <c:xVal>
            <c:numRef>
              <c:f>熱抵抗!$A$8:$A$9</c:f>
              <c:numCache>
                <c:formatCode>General</c:formatCode>
                <c:ptCount val="2"/>
                <c:pt idx="0">
                  <c:v>20</c:v>
                </c:pt>
                <c:pt idx="1">
                  <c:v>48</c:v>
                </c:pt>
              </c:numCache>
            </c:numRef>
          </c:xVal>
          <c:yVal>
            <c:numRef>
              <c:f>熱抵抗!$F$8:$F$9</c:f>
              <c:numCache>
                <c:formatCode>0.00</c:formatCode>
                <c:ptCount val="2"/>
                <c:pt idx="0">
                  <c:v>1.6</c:v>
                </c:pt>
                <c:pt idx="1">
                  <c:v>0.91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熱抵抗!$G$5</c:f>
              <c:strCache>
                <c:ptCount val="1"/>
                <c:pt idx="0">
                  <c:v>230mA/Tj140℃</c:v>
                </c:pt>
              </c:strCache>
            </c:strRef>
          </c:tx>
          <c:xVal>
            <c:numRef>
              <c:f>熱抵抗!$B$6:$B$9</c:f>
              <c:numCache>
                <c:formatCode>General</c:formatCode>
                <c:ptCount val="4"/>
                <c:pt idx="0">
                  <c:v>7</c:v>
                </c:pt>
                <c:pt idx="1">
                  <c:v>12</c:v>
                </c:pt>
                <c:pt idx="2">
                  <c:v>24</c:v>
                </c:pt>
                <c:pt idx="3">
                  <c:v>48</c:v>
                </c:pt>
              </c:numCache>
            </c:numRef>
          </c:xVal>
          <c:yVal>
            <c:numRef>
              <c:f>熱抵抗!$G$6:$G$9</c:f>
              <c:numCache>
                <c:formatCode>0.00</c:formatCode>
                <c:ptCount val="4"/>
                <c:pt idx="0">
                  <c:v>4.8029999999999999</c:v>
                </c:pt>
                <c:pt idx="1">
                  <c:v>2.5259999999999998</c:v>
                </c:pt>
                <c:pt idx="2">
                  <c:v>1.53</c:v>
                </c:pt>
                <c:pt idx="3">
                  <c:v>0.73099999999999998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熱抵抗!$H$5</c:f>
              <c:strCache>
                <c:ptCount val="1"/>
                <c:pt idx="0">
                  <c:v>350mA/Tj140℃</c:v>
                </c:pt>
              </c:strCache>
            </c:strRef>
          </c:tx>
          <c:xVal>
            <c:numRef>
              <c:f>熱抵抗!$B$6:$B$9</c:f>
              <c:numCache>
                <c:formatCode>General</c:formatCode>
                <c:ptCount val="4"/>
                <c:pt idx="0">
                  <c:v>7</c:v>
                </c:pt>
                <c:pt idx="1">
                  <c:v>12</c:v>
                </c:pt>
                <c:pt idx="2">
                  <c:v>24</c:v>
                </c:pt>
                <c:pt idx="3">
                  <c:v>48</c:v>
                </c:pt>
              </c:numCache>
            </c:numRef>
          </c:xVal>
          <c:yVal>
            <c:numRef>
              <c:f>熱抵抗!$H$6:$H$9</c:f>
              <c:numCache>
                <c:formatCode>0.00</c:formatCode>
                <c:ptCount val="4"/>
                <c:pt idx="0">
                  <c:v>5.3360000000000003</c:v>
                </c:pt>
                <c:pt idx="1">
                  <c:v>2.9809999999999999</c:v>
                </c:pt>
                <c:pt idx="2">
                  <c:v>1.708</c:v>
                </c:pt>
                <c:pt idx="3">
                  <c:v>0.84599999999999997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熱抵抗!$I$5</c:f>
              <c:strCache>
                <c:ptCount val="1"/>
                <c:pt idx="0">
                  <c:v>230mA/Tj150℃</c:v>
                </c:pt>
              </c:strCache>
            </c:strRef>
          </c:tx>
          <c:xVal>
            <c:numRef>
              <c:f>熱抵抗!$B$6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熱抵抗!$I$6:$I$9</c:f>
              <c:numCache>
                <c:formatCode>0.00</c:formatCode>
                <c:ptCount val="4"/>
                <c:pt idx="0">
                  <c:v>4.97</c:v>
                </c:pt>
                <c:pt idx="1">
                  <c:v>2.6150000000000002</c:v>
                </c:pt>
                <c:pt idx="2">
                  <c:v>1.589</c:v>
                </c:pt>
                <c:pt idx="3">
                  <c:v>0.75600000000000001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熱抵抗!$J$5</c:f>
              <c:strCache>
                <c:ptCount val="1"/>
                <c:pt idx="0">
                  <c:v>350mA/Tj150℃</c:v>
                </c:pt>
              </c:strCache>
            </c:strRef>
          </c:tx>
          <c:xVal>
            <c:numRef>
              <c:f>熱抵抗!$B$6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熱抵抗!$J$6:$J$9</c:f>
              <c:numCache>
                <c:formatCode>0.00</c:formatCode>
                <c:ptCount val="4"/>
                <c:pt idx="0">
                  <c:v>5.5060000000000002</c:v>
                </c:pt>
                <c:pt idx="1">
                  <c:v>3.085</c:v>
                </c:pt>
                <c:pt idx="2">
                  <c:v>1.7729999999999999</c:v>
                </c:pt>
                <c:pt idx="3">
                  <c:v>0.878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熱抵抗!$K$5</c:f>
              <c:strCache>
                <c:ptCount val="1"/>
                <c:pt idx="0">
                  <c:v>230mA/Tj140℃</c:v>
                </c:pt>
              </c:strCache>
            </c:strRef>
          </c:tx>
          <c:trendline>
            <c:trendlineType val="power"/>
            <c:dispRSqr val="1"/>
            <c:dispEq val="1"/>
            <c:trendlineLbl>
              <c:layout>
                <c:manualLayout>
                  <c:x val="0.50002345919018876"/>
                  <c:y val="-0.54741361002929245"/>
                </c:manualLayout>
              </c:layout>
              <c:numFmt formatCode="#,##0.00000000000000000000_);[Red]\(#,##0.00000000000000000000\)" sourceLinked="0"/>
            </c:trendlineLbl>
          </c:trendline>
          <c:xVal>
            <c:numRef>
              <c:f>熱抵抗!$B$6:$B$9</c:f>
              <c:numCache>
                <c:formatCode>General</c:formatCode>
                <c:ptCount val="4"/>
                <c:pt idx="0">
                  <c:v>7</c:v>
                </c:pt>
                <c:pt idx="1">
                  <c:v>12</c:v>
                </c:pt>
                <c:pt idx="2">
                  <c:v>24</c:v>
                </c:pt>
                <c:pt idx="3">
                  <c:v>48</c:v>
                </c:pt>
              </c:numCache>
            </c:numRef>
          </c:xVal>
          <c:yVal>
            <c:numRef>
              <c:f>熱抵抗!$K$6:$K$9</c:f>
              <c:numCache>
                <c:formatCode>0.0</c:formatCode>
                <c:ptCount val="4"/>
                <c:pt idx="0">
                  <c:v>5.4</c:v>
                </c:pt>
                <c:pt idx="1">
                  <c:v>3</c:v>
                </c:pt>
                <c:pt idx="2">
                  <c:v>1.6</c:v>
                </c:pt>
                <c:pt idx="3" formatCode="0.00">
                  <c:v>0.91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547968"/>
        <c:axId val="56894208"/>
      </c:scatterChart>
      <c:valAx>
        <c:axId val="56547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/>
                  <a:t>素子数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6894208"/>
        <c:crosses val="autoZero"/>
        <c:crossBetween val="midCat"/>
      </c:valAx>
      <c:valAx>
        <c:axId val="568942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熱抵抗</a:t>
                </a:r>
                <a:r>
                  <a:rPr lang="en-US" altLang="ja-JP"/>
                  <a:t>[</a:t>
                </a:r>
                <a:r>
                  <a:rPr lang="ja-JP" altLang="en-US"/>
                  <a:t>℃</a:t>
                </a:r>
                <a:r>
                  <a:rPr lang="en-US" altLang="ja-JP"/>
                  <a:t>/W]</a:t>
                </a:r>
                <a:endParaRPr lang="ja-JP" altLang="en-US"/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565479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(DR2)'!$M$57:$M$60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(DR2)'!$N$57:$N$60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22112"/>
        <c:axId val="57352960"/>
      </c:scatterChart>
      <c:valAx>
        <c:axId val="57322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352960"/>
        <c:crosses val="autoZero"/>
        <c:crossBetween val="midCat"/>
      </c:valAx>
      <c:valAx>
        <c:axId val="57352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32211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(DR2)'!$T$57:$T$60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(DR2)'!$U$57:$U$60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81632"/>
        <c:axId val="57383552"/>
      </c:scatterChart>
      <c:valAx>
        <c:axId val="573816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383552"/>
        <c:crosses val="autoZero"/>
        <c:crossBetween val="midCat"/>
      </c:valAx>
      <c:valAx>
        <c:axId val="573835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38163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(DR2)'!$AA$57:$AA$60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(DR2)'!$AB$57:$AB$60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04032"/>
        <c:axId val="58090240"/>
      </c:scatterChart>
      <c:valAx>
        <c:axId val="57404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090240"/>
        <c:crosses val="autoZero"/>
        <c:crossBetween val="midCat"/>
      </c:valAx>
      <c:valAx>
        <c:axId val="58090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40403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(DR2)'!$F$57:$F$60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(DR2)'!$G$57:$G$60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111104"/>
        <c:axId val="58113024"/>
      </c:scatterChart>
      <c:valAx>
        <c:axId val="58111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113024"/>
        <c:crosses val="autoZero"/>
        <c:crossBetween val="midCat"/>
      </c:valAx>
      <c:valAx>
        <c:axId val="581130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11110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(DR2)'!$J$81:$J$84</c:f>
              <c:numCache>
                <c:formatCode>General</c:formatCode>
                <c:ptCount val="4"/>
                <c:pt idx="0">
                  <c:v>0</c:v>
                </c:pt>
                <c:pt idx="1">
                  <c:v>85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 (DR2)'!$K$81:$K$84</c:f>
              <c:numCache>
                <c:formatCode>General</c:formatCode>
                <c:ptCount val="4"/>
                <c:pt idx="0">
                  <c:v>350</c:v>
                </c:pt>
                <c:pt idx="1">
                  <c:v>350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141696"/>
        <c:axId val="58152064"/>
      </c:scatterChart>
      <c:valAx>
        <c:axId val="58141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152064"/>
        <c:crosses val="autoZero"/>
        <c:crossBetween val="midCat"/>
      </c:valAx>
      <c:valAx>
        <c:axId val="581520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14169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(DR2)'!$Q$81:$Q$84</c:f>
              <c:numCache>
                <c:formatCode>General</c:formatCode>
                <c:ptCount val="4"/>
                <c:pt idx="0">
                  <c:v>0</c:v>
                </c:pt>
                <c:pt idx="1">
                  <c:v>65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 (DR2)'!$R$81:$R$84</c:f>
              <c:numCache>
                <c:formatCode>General</c:formatCode>
                <c:ptCount val="4"/>
                <c:pt idx="0">
                  <c:v>700</c:v>
                </c:pt>
                <c:pt idx="1">
                  <c:v>700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184832"/>
        <c:axId val="58186752"/>
      </c:scatterChart>
      <c:valAx>
        <c:axId val="58184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186752"/>
        <c:crosses val="autoZero"/>
        <c:crossBetween val="midCat"/>
      </c:valAx>
      <c:valAx>
        <c:axId val="581867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18483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(DR2)'!$X$81:$X$84</c:f>
              <c:numCache>
                <c:formatCode>General</c:formatCode>
                <c:ptCount val="4"/>
                <c:pt idx="0">
                  <c:v>0</c:v>
                </c:pt>
                <c:pt idx="1">
                  <c:v>65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 (DR2)'!$Y$81:$Y$84</c:f>
              <c:numCache>
                <c:formatCode>General</c:formatCode>
                <c:ptCount val="4"/>
                <c:pt idx="0">
                  <c:v>1400</c:v>
                </c:pt>
                <c:pt idx="1">
                  <c:v>1400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194944"/>
        <c:axId val="58209408"/>
      </c:scatterChart>
      <c:valAx>
        <c:axId val="5819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209408"/>
        <c:crosses val="autoZero"/>
        <c:crossBetween val="midCat"/>
      </c:valAx>
      <c:valAx>
        <c:axId val="582094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19494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(DR2)'!$C$81:$C$84</c:f>
              <c:numCache>
                <c:formatCode>General</c:formatCode>
                <c:ptCount val="4"/>
                <c:pt idx="0">
                  <c:v>0</c:v>
                </c:pt>
                <c:pt idx="1">
                  <c:v>85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 (DR2)'!$D$81:$D$84</c:f>
              <c:numCache>
                <c:formatCode>General</c:formatCode>
                <c:ptCount val="4"/>
                <c:pt idx="0">
                  <c:v>350</c:v>
                </c:pt>
                <c:pt idx="1">
                  <c:v>350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242176"/>
        <c:axId val="58244096"/>
      </c:scatterChart>
      <c:valAx>
        <c:axId val="58242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244096"/>
        <c:crosses val="autoZero"/>
        <c:crossBetween val="midCat"/>
      </c:valAx>
      <c:valAx>
        <c:axId val="582440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24217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(DR2)'!$M$7:$M$10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(DR2)'!$N$7:$N$10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 (DR2)'!$J$104:$J$106</c:f>
              <c:numCache>
                <c:formatCode>0.0</c:formatCode>
                <c:ptCount val="3"/>
                <c:pt idx="0">
                  <c:v>99.911258583457695</c:v>
                </c:pt>
                <c:pt idx="1">
                  <c:v>115.2413877583186</c:v>
                </c:pt>
                <c:pt idx="2">
                  <c:v>127.99425229985762</c:v>
                </c:pt>
              </c:numCache>
            </c:numRef>
          </c:xVal>
          <c:yVal>
            <c:numRef>
              <c:f>'最大定格 (DR2)'!$K$104:$K$106</c:f>
              <c:numCache>
                <c:formatCode>0.0</c:formatCode>
                <c:ptCount val="3"/>
                <c:pt idx="0">
                  <c:v>350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70"/>
            <c:backward val="90"/>
            <c:dispRSqr val="0"/>
            <c:dispEq val="0"/>
          </c:trendline>
          <c:xVal>
            <c:numRef>
              <c:f>'最大定格 (DR2)'!$M$104:$M$106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 (DR2)'!$N$104:$N$106</c:f>
              <c:numCache>
                <c:formatCode>0.0</c:formatCode>
                <c:ptCount val="3"/>
                <c:pt idx="0">
                  <c:v>578.64967167371776</c:v>
                </c:pt>
                <c:pt idx="1">
                  <c:v>471.78363999649184</c:v>
                </c:pt>
                <c:pt idx="2">
                  <c:v>390.86335008821027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280192"/>
        <c:axId val="58298752"/>
      </c:scatterChart>
      <c:valAx>
        <c:axId val="58280192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298752"/>
        <c:crosses val="autoZero"/>
        <c:crossBetween val="midCat"/>
      </c:valAx>
      <c:valAx>
        <c:axId val="58298752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28019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(DR2)'!$T$7:$T$10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(DR2)'!$U$7:$U$10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15"/>
            <c:backward val="100"/>
            <c:dispRSqr val="0"/>
            <c:dispEq val="0"/>
          </c:trendline>
          <c:xVal>
            <c:numRef>
              <c:f>'最大定格 (DR2)'!$Q$104:$Q$106</c:f>
              <c:numCache>
                <c:formatCode>0.0</c:formatCode>
                <c:ptCount val="3"/>
                <c:pt idx="0">
                  <c:v>97.215385710424201</c:v>
                </c:pt>
                <c:pt idx="1">
                  <c:v>113.59100898086922</c:v>
                </c:pt>
                <c:pt idx="2">
                  <c:v>127.19910268029027</c:v>
                </c:pt>
              </c:numCache>
            </c:numRef>
          </c:xVal>
          <c:yVal>
            <c:numRef>
              <c:f>'最大定格 (DR2)'!$R$104:$R$106</c:f>
              <c:numCache>
                <c:formatCode>0.0</c:formatCode>
                <c:ptCount val="3"/>
                <c:pt idx="0">
                  <c:v>700</c:v>
                </c:pt>
                <c:pt idx="1">
                  <c:v>460</c:v>
                </c:pt>
                <c:pt idx="2">
                  <c:v>240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80"/>
            <c:dispRSqr val="0"/>
            <c:dispEq val="0"/>
          </c:trendline>
          <c:xVal>
            <c:numRef>
              <c:f>'最大定格 (DR2)'!$T$104:$T$106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 (DR2)'!$U$104:$U$106</c:f>
              <c:numCache>
                <c:formatCode>0.0</c:formatCode>
                <c:ptCount val="3"/>
                <c:pt idx="0">
                  <c:v>621.71309617099109</c:v>
                </c:pt>
                <c:pt idx="1">
                  <c:v>511.8932506967987</c:v>
                </c:pt>
                <c:pt idx="2">
                  <c:v>424.98316017085222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666368"/>
        <c:axId val="58680832"/>
      </c:scatterChart>
      <c:valAx>
        <c:axId val="58666368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680832"/>
        <c:crosses val="autoZero"/>
        <c:crossBetween val="midCat"/>
      </c:valAx>
      <c:valAx>
        <c:axId val="58680832"/>
        <c:scaling>
          <c:orientation val="minMax"/>
          <c:max val="12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66636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(DR2)'!$AA$7:$AA$10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(DR2)'!$AB$7:$AB$10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 (DR2)'!$X$104:$X$106</c:f>
              <c:numCache>
                <c:formatCode>0.0</c:formatCode>
                <c:ptCount val="3"/>
                <c:pt idx="0">
                  <c:v>91.271010425861078</c:v>
                </c:pt>
                <c:pt idx="1">
                  <c:v>109.95985905446892</c:v>
                </c:pt>
                <c:pt idx="2">
                  <c:v>125.45122972886752</c:v>
                </c:pt>
              </c:numCache>
            </c:numRef>
          </c:xVal>
          <c:yVal>
            <c:numRef>
              <c:f>'最大定格 (DR2)'!$Y$104:$Y$106</c:f>
              <c:numCache>
                <c:formatCode>0.0</c:formatCode>
                <c:ptCount val="3"/>
                <c:pt idx="0">
                  <c:v>1400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 (DR2)'!$AA$104:$AA$106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 (DR2)'!$AB$104:$AB$106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401536"/>
        <c:axId val="58403456"/>
      </c:scatterChart>
      <c:valAx>
        <c:axId val="58401536"/>
        <c:scaling>
          <c:orientation val="minMax"/>
          <c:max val="14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403456"/>
        <c:crosses val="autoZero"/>
        <c:crossBetween val="midCat"/>
      </c:valAx>
      <c:valAx>
        <c:axId val="58403456"/>
        <c:scaling>
          <c:orientation val="minMax"/>
          <c:max val="1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401536"/>
        <c:crosses val="autoZero"/>
        <c:crossBetween val="midCat"/>
        <c:majorUnit val="4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(DR2)'!$F$7:$F$10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(DR2)'!$G$7:$G$10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 (DR2)'!$C$104:$C$106</c:f>
              <c:numCache>
                <c:formatCode>0.0</c:formatCode>
                <c:ptCount val="3"/>
                <c:pt idx="0">
                  <c:v>97.505354945628639</c:v>
                </c:pt>
                <c:pt idx="1">
                  <c:v>113.28248888473615</c:v>
                </c:pt>
                <c:pt idx="2">
                  <c:v>127.14860772567259</c:v>
                </c:pt>
              </c:numCache>
            </c:numRef>
          </c:xVal>
          <c:yVal>
            <c:numRef>
              <c:f>'最大定格 (DR2)'!$D$104:$D$106</c:f>
              <c:numCache>
                <c:formatCode>0.0</c:formatCode>
                <c:ptCount val="3"/>
                <c:pt idx="0">
                  <c:v>350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50"/>
            <c:backward val="90"/>
            <c:dispRSqr val="0"/>
            <c:dispEq val="0"/>
          </c:trendline>
          <c:xVal>
            <c:numRef>
              <c:f>'最大定格 (DR2)'!$F$104:$F$106</c:f>
              <c:numCache>
                <c:formatCode>0.0</c:formatCode>
                <c:ptCount val="3"/>
                <c:pt idx="0">
                  <c:v>90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 (DR2)'!$G$104:$G$106</c:f>
              <c:numCache>
                <c:formatCode>0.0</c:formatCode>
                <c:ptCount val="3"/>
                <c:pt idx="0">
                  <c:v>1021.5031914026682</c:v>
                </c:pt>
                <c:pt idx="1">
                  <c:v>802.34774484946365</c:v>
                </c:pt>
                <c:pt idx="2">
                  <c:v>641.65012095108443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435456"/>
        <c:axId val="58449920"/>
      </c:scatterChart>
      <c:valAx>
        <c:axId val="58435456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449920"/>
        <c:crosses val="autoZero"/>
        <c:crossBetween val="midCat"/>
      </c:valAx>
      <c:valAx>
        <c:axId val="58449920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43545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CLU712-1204C9(</a:t>
            </a:r>
            <a:r>
              <a:rPr lang="ja-JP" altLang="en-US"/>
              <a:t>高温通電＠</a:t>
            </a:r>
            <a:r>
              <a:rPr lang="en-US" altLang="ja-JP"/>
              <a:t>3000h)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(DR2)'!$AA$7:$AA$10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(DR2)'!$AB$7:$AB$10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 (DR2)'!$X$104:$X$106</c:f>
              <c:numCache>
                <c:formatCode>0.0</c:formatCode>
                <c:ptCount val="3"/>
                <c:pt idx="0">
                  <c:v>91.271010425861078</c:v>
                </c:pt>
                <c:pt idx="1">
                  <c:v>109.95985905446892</c:v>
                </c:pt>
                <c:pt idx="2">
                  <c:v>125.45122972886752</c:v>
                </c:pt>
              </c:numCache>
            </c:numRef>
          </c:xVal>
          <c:yVal>
            <c:numRef>
              <c:f>'最大定格 (DR2)'!$Y$104:$Y$106</c:f>
              <c:numCache>
                <c:formatCode>0.0</c:formatCode>
                <c:ptCount val="3"/>
                <c:pt idx="0">
                  <c:v>1400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 (DR2)'!$AA$104:$AA$106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 (DR2)'!$AB$104:$AB$106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'最大定格 (DR2)'!$AH$28</c:f>
              <c:strCache>
                <c:ptCount val="1"/>
                <c:pt idx="0">
                  <c:v>97.7%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 (DR2)'!$AF$28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 (DR2)'!$AG$28</c:f>
              <c:numCache>
                <c:formatCode>General</c:formatCode>
                <c:ptCount val="1"/>
                <c:pt idx="0">
                  <c:v>1080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'最大定格 (DR2)'!$AH$29</c:f>
              <c:strCache>
                <c:ptCount val="1"/>
                <c:pt idx="0">
                  <c:v>96.4%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 (DR2)'!$AF$29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 (DR2)'!$AG$29</c:f>
              <c:numCache>
                <c:formatCode>General</c:formatCode>
                <c:ptCount val="1"/>
                <c:pt idx="0">
                  <c:v>1200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'最大定格 (DR2)'!$AH$30</c:f>
              <c:strCache>
                <c:ptCount val="1"/>
                <c:pt idx="0">
                  <c:v>96.2%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 (DR2)'!$AF$30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 (DR2)'!$AG$30</c:f>
              <c:numCache>
                <c:formatCode>General</c:formatCode>
                <c:ptCount val="1"/>
                <c:pt idx="0">
                  <c:v>1400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'最大定格 (DR2)'!$AH$31</c:f>
              <c:strCache>
                <c:ptCount val="1"/>
                <c:pt idx="0">
                  <c:v>96.4%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 (DR2)'!$AF$31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 (DR2)'!$AG$31</c:f>
              <c:numCache>
                <c:formatCode>General</c:formatCode>
                <c:ptCount val="1"/>
                <c:pt idx="0">
                  <c:v>1600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'最大定格 (DR2)'!$AH$32</c:f>
              <c:strCache>
                <c:ptCount val="1"/>
                <c:pt idx="0">
                  <c:v>97.0%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 (DR2)'!$AF$32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 (DR2)'!$AG$32</c:f>
              <c:numCache>
                <c:formatCode>General</c:formatCode>
                <c:ptCount val="1"/>
                <c:pt idx="0">
                  <c:v>920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'最大定格 (DR2)'!$AH$33</c:f>
              <c:strCache>
                <c:ptCount val="1"/>
                <c:pt idx="0">
                  <c:v>98.5%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 (DR2)'!$AF$33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 (DR2)'!$AG$33</c:f>
              <c:numCache>
                <c:formatCode>General</c:formatCode>
                <c:ptCount val="1"/>
                <c:pt idx="0">
                  <c:v>1080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'最大定格 (DR2)'!$AH$34</c:f>
              <c:strCache>
                <c:ptCount val="1"/>
                <c:pt idx="0">
                  <c:v>98.4%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 (DR2)'!$AF$34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 (DR2)'!$AG$34</c:f>
              <c:numCache>
                <c:formatCode>General</c:formatCode>
                <c:ptCount val="1"/>
                <c:pt idx="0">
                  <c:v>1400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'最大定格 (DR2)'!$AH$35</c:f>
              <c:strCache>
                <c:ptCount val="1"/>
                <c:pt idx="0">
                  <c:v>97.9%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 (DR2)'!$AF$35</c:f>
              <c:numCache>
                <c:formatCode>General</c:formatCode>
                <c:ptCount val="1"/>
                <c:pt idx="0">
                  <c:v>120</c:v>
                </c:pt>
              </c:numCache>
            </c:numRef>
          </c:xVal>
          <c:yVal>
            <c:numRef>
              <c:f>'最大定格 (DR2)'!$AG$35</c:f>
              <c:numCache>
                <c:formatCode>General</c:formatCode>
                <c:ptCount val="1"/>
                <c:pt idx="0">
                  <c:v>1200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553088"/>
        <c:axId val="58555008"/>
      </c:scatterChart>
      <c:valAx>
        <c:axId val="58553088"/>
        <c:scaling>
          <c:orientation val="minMax"/>
          <c:max val="130"/>
          <c:min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555008"/>
        <c:crosses val="autoZero"/>
        <c:crossBetween val="midCat"/>
      </c:valAx>
      <c:valAx>
        <c:axId val="58555008"/>
        <c:scaling>
          <c:orientation val="minMax"/>
          <c:max val="1500"/>
          <c:min val="8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553088"/>
        <c:crosses val="autoZero"/>
        <c:crossBetween val="midCat"/>
        <c:majorUnit val="1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(DR2)'!$M$32:$M$35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(DR2)'!$N$32:$N$35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993280"/>
        <c:axId val="58995456"/>
      </c:scatterChart>
      <c:valAx>
        <c:axId val="58993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995456"/>
        <c:crosses val="autoZero"/>
        <c:crossBetween val="midCat"/>
      </c:valAx>
      <c:valAx>
        <c:axId val="589954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99328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(DR2)'!$T$32:$T$35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(DR2)'!$U$32:$U$35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024128"/>
        <c:axId val="59026048"/>
      </c:scatterChart>
      <c:valAx>
        <c:axId val="59024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026048"/>
        <c:crosses val="autoZero"/>
        <c:crossBetween val="midCat"/>
      </c:valAx>
      <c:valAx>
        <c:axId val="59026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02412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(DR2)'!$AA$32:$AA$35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(DR2)'!$AB$32:$AB$35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042432"/>
        <c:axId val="58786560"/>
      </c:scatterChart>
      <c:valAx>
        <c:axId val="59042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786560"/>
        <c:crosses val="autoZero"/>
        <c:crossBetween val="midCat"/>
      </c:valAx>
      <c:valAx>
        <c:axId val="587865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04243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(DR2)'!$F$32:$F$35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(DR2)'!$G$32:$G$35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827520"/>
        <c:axId val="58829440"/>
      </c:scatterChart>
      <c:valAx>
        <c:axId val="58827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829440"/>
        <c:crosses val="autoZero"/>
        <c:crossBetween val="midCat"/>
      </c:valAx>
      <c:valAx>
        <c:axId val="588294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82752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 (DR2)'!$AA$7:$AA$10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 (DR2)'!$AB$7:$AB$10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 (DR2)'!$X$104:$X$106</c:f>
              <c:numCache>
                <c:formatCode>0.0</c:formatCode>
                <c:ptCount val="3"/>
                <c:pt idx="0">
                  <c:v>91.271010425861078</c:v>
                </c:pt>
                <c:pt idx="1">
                  <c:v>109.95985905446892</c:v>
                </c:pt>
                <c:pt idx="2">
                  <c:v>125.45122972886752</c:v>
                </c:pt>
              </c:numCache>
            </c:numRef>
          </c:xVal>
          <c:yVal>
            <c:numRef>
              <c:f>'最大定格 (DR2)'!$Y$104:$Y$106</c:f>
              <c:numCache>
                <c:formatCode>0.0</c:formatCode>
                <c:ptCount val="3"/>
                <c:pt idx="0">
                  <c:v>1400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 (DR2)'!$AA$104:$AA$106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 (DR2)'!$AB$104:$AB$106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963840"/>
        <c:axId val="58966016"/>
      </c:scatterChart>
      <c:valAx>
        <c:axId val="58963840"/>
        <c:scaling>
          <c:orientation val="minMax"/>
          <c:max val="14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966016"/>
        <c:crosses val="autoZero"/>
        <c:crossBetween val="midCat"/>
      </c:valAx>
      <c:valAx>
        <c:axId val="58966016"/>
        <c:scaling>
          <c:orientation val="minMax"/>
          <c:max val="1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963840"/>
        <c:crosses val="autoZero"/>
        <c:crossBetween val="midCat"/>
        <c:majorUnit val="4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'最大定格(信頼性)'!$M$57:$M$60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'最大定格(信頼性)'!$N$57:$N$60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109376"/>
        <c:axId val="59111296"/>
      </c:scatterChart>
      <c:valAx>
        <c:axId val="59109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111296"/>
        <c:crosses val="autoZero"/>
        <c:crossBetween val="midCat"/>
      </c:valAx>
      <c:valAx>
        <c:axId val="591112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10937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'最大定格(信頼性)'!$T$57:$T$60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'最大定格(信頼性)'!$U$57:$U$60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805824"/>
        <c:axId val="55808000"/>
      </c:scatterChart>
      <c:valAx>
        <c:axId val="55805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808000"/>
        <c:crosses val="autoZero"/>
        <c:crossBetween val="midCat"/>
      </c:valAx>
      <c:valAx>
        <c:axId val="558080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80582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'最大定格(信頼性)'!$AA$57:$AA$60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'最大定格(信頼性)'!$AB$57:$AB$60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828480"/>
        <c:axId val="55830400"/>
      </c:scatterChart>
      <c:valAx>
        <c:axId val="55828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830400"/>
        <c:crosses val="autoZero"/>
        <c:crossBetween val="midCat"/>
      </c:valAx>
      <c:valAx>
        <c:axId val="558304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82848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'最大定格(信頼性)'!$F$57:$F$60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'最大定格(信頼性)'!$G$57:$G$60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035008"/>
        <c:axId val="57057664"/>
      </c:scatterChart>
      <c:valAx>
        <c:axId val="5703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057664"/>
        <c:crosses val="autoZero"/>
        <c:crossBetween val="midCat"/>
      </c:valAx>
      <c:valAx>
        <c:axId val="570576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03500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'最大定格(信頼性)'!$J$81:$J$84</c:f>
              <c:numCache>
                <c:formatCode>General</c:formatCode>
                <c:ptCount val="4"/>
                <c:pt idx="0">
                  <c:v>0</c:v>
                </c:pt>
                <c:pt idx="1">
                  <c:v>85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'最大定格(信頼性)'!$K$81:$K$84</c:f>
              <c:numCache>
                <c:formatCode>General</c:formatCode>
                <c:ptCount val="4"/>
                <c:pt idx="0">
                  <c:v>350</c:v>
                </c:pt>
                <c:pt idx="1">
                  <c:v>350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074048"/>
        <c:axId val="57075968"/>
      </c:scatterChart>
      <c:valAx>
        <c:axId val="57074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075968"/>
        <c:crosses val="autoZero"/>
        <c:crossBetween val="midCat"/>
      </c:valAx>
      <c:valAx>
        <c:axId val="570759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07404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'最大定格(信頼性)'!$Q$81:$Q$84</c:f>
              <c:numCache>
                <c:formatCode>General</c:formatCode>
                <c:ptCount val="4"/>
                <c:pt idx="0">
                  <c:v>0</c:v>
                </c:pt>
                <c:pt idx="1">
                  <c:v>65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'最大定格(信頼性)'!$R$81:$R$84</c:f>
              <c:numCache>
                <c:formatCode>General</c:formatCode>
                <c:ptCount val="4"/>
                <c:pt idx="0">
                  <c:v>700</c:v>
                </c:pt>
                <c:pt idx="1">
                  <c:v>700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170176"/>
        <c:axId val="57172352"/>
      </c:scatterChart>
      <c:valAx>
        <c:axId val="57170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172352"/>
        <c:crosses val="autoZero"/>
        <c:crossBetween val="midCat"/>
      </c:valAx>
      <c:valAx>
        <c:axId val="57172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17017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'最大定格(信頼性)'!$X$81:$X$84</c:f>
              <c:numCache>
                <c:formatCode>General</c:formatCode>
                <c:ptCount val="4"/>
                <c:pt idx="0">
                  <c:v>0</c:v>
                </c:pt>
                <c:pt idx="1">
                  <c:v>65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'最大定格(信頼性)'!$Y$81:$Y$84</c:f>
              <c:numCache>
                <c:formatCode>General</c:formatCode>
                <c:ptCount val="4"/>
                <c:pt idx="0">
                  <c:v>1400</c:v>
                </c:pt>
                <c:pt idx="1">
                  <c:v>1400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642240"/>
        <c:axId val="59644160"/>
      </c:scatterChart>
      <c:valAx>
        <c:axId val="59642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644160"/>
        <c:crosses val="autoZero"/>
        <c:crossBetween val="midCat"/>
      </c:valAx>
      <c:valAx>
        <c:axId val="596441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64224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'最大定格(信頼性)'!$C$81:$C$84</c:f>
              <c:numCache>
                <c:formatCode>General</c:formatCode>
                <c:ptCount val="4"/>
                <c:pt idx="0">
                  <c:v>0</c:v>
                </c:pt>
                <c:pt idx="1">
                  <c:v>85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'最大定格(信頼性)'!$D$81:$D$84</c:f>
              <c:numCache>
                <c:formatCode>General</c:formatCode>
                <c:ptCount val="4"/>
                <c:pt idx="0">
                  <c:v>350</c:v>
                </c:pt>
                <c:pt idx="1">
                  <c:v>350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685120"/>
        <c:axId val="59687296"/>
      </c:scatterChart>
      <c:valAx>
        <c:axId val="59685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687296"/>
        <c:crosses val="autoZero"/>
        <c:crossBetween val="midCat"/>
      </c:valAx>
      <c:valAx>
        <c:axId val="596872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68512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'最大定格(信頼性)'!$M$7:$M$10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'最大定格(信頼性)'!$N$7:$N$10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'最大定格(信頼性)'!$J$104:$J$106</c:f>
              <c:numCache>
                <c:formatCode>0.0</c:formatCode>
                <c:ptCount val="3"/>
                <c:pt idx="0">
                  <c:v>99.911258583457695</c:v>
                </c:pt>
                <c:pt idx="1">
                  <c:v>115.2413877583186</c:v>
                </c:pt>
                <c:pt idx="2">
                  <c:v>127.99425229985762</c:v>
                </c:pt>
              </c:numCache>
            </c:numRef>
          </c:xVal>
          <c:yVal>
            <c:numRef>
              <c:f>'最大定格(信頼性)'!$K$104:$K$106</c:f>
              <c:numCache>
                <c:formatCode>0.0</c:formatCode>
                <c:ptCount val="3"/>
                <c:pt idx="0">
                  <c:v>350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70"/>
            <c:backward val="90"/>
            <c:dispRSqr val="0"/>
            <c:dispEq val="0"/>
          </c:trendline>
          <c:xVal>
            <c:numRef>
              <c:f>'最大定格(信頼性)'!$M$104:$M$106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'最大定格(信頼性)'!$N$104:$N$106</c:f>
              <c:numCache>
                <c:formatCode>0.0</c:formatCode>
                <c:ptCount val="3"/>
                <c:pt idx="0">
                  <c:v>578.64967167371776</c:v>
                </c:pt>
                <c:pt idx="1">
                  <c:v>471.78363999649184</c:v>
                </c:pt>
                <c:pt idx="2">
                  <c:v>390.86335008821027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796864"/>
        <c:axId val="59803136"/>
      </c:scatterChart>
      <c:valAx>
        <c:axId val="59796864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803136"/>
        <c:crosses val="autoZero"/>
        <c:crossBetween val="midCat"/>
      </c:valAx>
      <c:valAx>
        <c:axId val="59803136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79686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'最大定格(信頼性)'!$T$7:$T$10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'最大定格(信頼性)'!$U$7:$U$10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15"/>
            <c:backward val="100"/>
            <c:dispRSqr val="0"/>
            <c:dispEq val="0"/>
          </c:trendline>
          <c:xVal>
            <c:numRef>
              <c:f>'最大定格(信頼性)'!$Q$104:$Q$106</c:f>
              <c:numCache>
                <c:formatCode>0.0</c:formatCode>
                <c:ptCount val="3"/>
                <c:pt idx="0">
                  <c:v>97.215385710424201</c:v>
                </c:pt>
                <c:pt idx="1">
                  <c:v>113.59100898086922</c:v>
                </c:pt>
                <c:pt idx="2">
                  <c:v>127.19910268029027</c:v>
                </c:pt>
              </c:numCache>
            </c:numRef>
          </c:xVal>
          <c:yVal>
            <c:numRef>
              <c:f>'最大定格(信頼性)'!$R$104:$R$106</c:f>
              <c:numCache>
                <c:formatCode>0.0</c:formatCode>
                <c:ptCount val="3"/>
                <c:pt idx="0">
                  <c:v>700</c:v>
                </c:pt>
                <c:pt idx="1">
                  <c:v>460</c:v>
                </c:pt>
                <c:pt idx="2">
                  <c:v>240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80"/>
            <c:dispRSqr val="0"/>
            <c:dispEq val="0"/>
          </c:trendline>
          <c:xVal>
            <c:numRef>
              <c:f>'最大定格(信頼性)'!$T$104:$T$106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'最大定格(信頼性)'!$U$104:$U$106</c:f>
              <c:numCache>
                <c:formatCode>0.0</c:formatCode>
                <c:ptCount val="3"/>
                <c:pt idx="0">
                  <c:v>621.71309617099109</c:v>
                </c:pt>
                <c:pt idx="1">
                  <c:v>511.8932506967987</c:v>
                </c:pt>
                <c:pt idx="2">
                  <c:v>424.98316017085222</c:v>
                </c:pt>
              </c:numCache>
            </c:numRef>
          </c:yVal>
          <c:smooth val="0"/>
        </c:ser>
        <c:ser>
          <c:idx val="3"/>
          <c:order val="3"/>
          <c:marker>
            <c:symbol val="circle"/>
            <c:size val="5"/>
          </c:marker>
          <c:xVal>
            <c:numRef>
              <c:f>'最大定格(信頼性)'!$U$2</c:f>
              <c:numCache>
                <c:formatCode>General</c:formatCode>
                <c:ptCount val="1"/>
                <c:pt idx="0">
                  <c:v>119.9</c:v>
                </c:pt>
              </c:numCache>
            </c:numRef>
          </c:xVal>
          <c:yVal>
            <c:numRef>
              <c:f>'最大定格(信頼性)'!$T$2</c:f>
              <c:numCache>
                <c:formatCode>General</c:formatCode>
                <c:ptCount val="1"/>
                <c:pt idx="0">
                  <c:v>350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385344"/>
        <c:axId val="59387264"/>
      </c:scatterChart>
      <c:valAx>
        <c:axId val="59385344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387264"/>
        <c:crosses val="autoZero"/>
        <c:crossBetween val="midCat"/>
      </c:valAx>
      <c:valAx>
        <c:axId val="59387264"/>
        <c:scaling>
          <c:orientation val="minMax"/>
          <c:max val="12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38534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'最大定格(信頼性)'!$AA$7:$AA$10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'最大定格(信頼性)'!$AB$7:$AB$10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'最大定格(信頼性)'!$X$104:$X$106</c:f>
              <c:numCache>
                <c:formatCode>0.0</c:formatCode>
                <c:ptCount val="3"/>
                <c:pt idx="0">
                  <c:v>91.271010425861078</c:v>
                </c:pt>
                <c:pt idx="1">
                  <c:v>109.95985905446892</c:v>
                </c:pt>
                <c:pt idx="2">
                  <c:v>125.45122972886752</c:v>
                </c:pt>
              </c:numCache>
            </c:numRef>
          </c:xVal>
          <c:yVal>
            <c:numRef>
              <c:f>'最大定格(信頼性)'!$Y$104:$Y$106</c:f>
              <c:numCache>
                <c:formatCode>0.0</c:formatCode>
                <c:ptCount val="3"/>
                <c:pt idx="0">
                  <c:v>1400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'最大定格(信頼性)'!$AA$104:$AA$106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'最大定格(信頼性)'!$AB$104:$AB$106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ser>
          <c:idx val="3"/>
          <c:order val="3"/>
          <c:marker>
            <c:symbol val="circle"/>
            <c:size val="5"/>
          </c:marker>
          <c:xVal>
            <c:numRef>
              <c:f>'最大定格(信頼性)'!$AB$2</c:f>
              <c:numCache>
                <c:formatCode>General</c:formatCode>
                <c:ptCount val="1"/>
                <c:pt idx="0">
                  <c:v>117.3</c:v>
                </c:pt>
              </c:numCache>
            </c:numRef>
          </c:xVal>
          <c:yVal>
            <c:numRef>
              <c:f>'最大定格(信頼性)'!$AA$2</c:f>
              <c:numCache>
                <c:formatCode>General</c:formatCode>
                <c:ptCount val="1"/>
                <c:pt idx="0">
                  <c:v>700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436416"/>
        <c:axId val="59454976"/>
      </c:scatterChart>
      <c:valAx>
        <c:axId val="59436416"/>
        <c:scaling>
          <c:orientation val="minMax"/>
          <c:max val="14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454976"/>
        <c:crosses val="autoZero"/>
        <c:crossBetween val="midCat"/>
      </c:valAx>
      <c:valAx>
        <c:axId val="59454976"/>
        <c:scaling>
          <c:orientation val="minMax"/>
          <c:max val="1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436416"/>
        <c:crosses val="autoZero"/>
        <c:crossBetween val="midCat"/>
        <c:majorUnit val="4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'最大定格(信頼性)'!$F$7:$F$10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'最大定格(信頼性)'!$G$7:$G$10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'最大定格(信頼性)'!$C$104:$C$106</c:f>
              <c:numCache>
                <c:formatCode>0.0</c:formatCode>
                <c:ptCount val="3"/>
                <c:pt idx="0">
                  <c:v>97.505354945628639</c:v>
                </c:pt>
                <c:pt idx="1">
                  <c:v>113.28248888473615</c:v>
                </c:pt>
                <c:pt idx="2">
                  <c:v>127.14860772567259</c:v>
                </c:pt>
              </c:numCache>
            </c:numRef>
          </c:xVal>
          <c:yVal>
            <c:numRef>
              <c:f>'最大定格(信頼性)'!$D$104:$D$106</c:f>
              <c:numCache>
                <c:formatCode>0.0</c:formatCode>
                <c:ptCount val="3"/>
                <c:pt idx="0">
                  <c:v>350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50"/>
            <c:backward val="90"/>
            <c:dispRSqr val="0"/>
            <c:dispEq val="0"/>
          </c:trendline>
          <c:xVal>
            <c:numRef>
              <c:f>'最大定格(信頼性)'!$F$104:$F$106</c:f>
              <c:numCache>
                <c:formatCode>0.0</c:formatCode>
                <c:ptCount val="3"/>
                <c:pt idx="0">
                  <c:v>90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'最大定格(信頼性)'!$G$104:$G$106</c:f>
              <c:numCache>
                <c:formatCode>0.0</c:formatCode>
                <c:ptCount val="3"/>
                <c:pt idx="0">
                  <c:v>1021.5031914026682</c:v>
                </c:pt>
                <c:pt idx="1">
                  <c:v>802.34774484946365</c:v>
                </c:pt>
                <c:pt idx="2">
                  <c:v>641.65012095108443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478784"/>
        <c:axId val="59480704"/>
      </c:scatterChart>
      <c:valAx>
        <c:axId val="59478784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480704"/>
        <c:crosses val="autoZero"/>
        <c:crossBetween val="midCat"/>
      </c:valAx>
      <c:valAx>
        <c:axId val="59480704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47878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CLU712-1204C9(</a:t>
            </a:r>
            <a:r>
              <a:rPr lang="ja-JP" altLang="en-US"/>
              <a:t>高温通電＠</a:t>
            </a:r>
            <a:r>
              <a:rPr lang="en-US" altLang="ja-JP"/>
              <a:t>3000h)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'最大定格(信頼性)'!$AA$7:$AA$10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'最大定格(信頼性)'!$AB$7:$AB$10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'最大定格(信頼性)'!$X$104:$X$106</c:f>
              <c:numCache>
                <c:formatCode>0.0</c:formatCode>
                <c:ptCount val="3"/>
                <c:pt idx="0">
                  <c:v>91.271010425861078</c:v>
                </c:pt>
                <c:pt idx="1">
                  <c:v>109.95985905446892</c:v>
                </c:pt>
                <c:pt idx="2">
                  <c:v>125.45122972886752</c:v>
                </c:pt>
              </c:numCache>
            </c:numRef>
          </c:xVal>
          <c:yVal>
            <c:numRef>
              <c:f>'最大定格(信頼性)'!$Y$104:$Y$106</c:f>
              <c:numCache>
                <c:formatCode>0.0</c:formatCode>
                <c:ptCount val="3"/>
                <c:pt idx="0">
                  <c:v>1400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'最大定格(信頼性)'!$AA$104:$AA$106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'最大定格(信頼性)'!$AB$104:$AB$106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'最大定格(信頼性)'!$AH$28</c:f>
              <c:strCache>
                <c:ptCount val="1"/>
                <c:pt idx="0">
                  <c:v>97.7%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'最大定格(信頼性)'!$AF$28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'最大定格(信頼性)'!$AG$28</c:f>
              <c:numCache>
                <c:formatCode>General</c:formatCode>
                <c:ptCount val="1"/>
                <c:pt idx="0">
                  <c:v>1080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'最大定格(信頼性)'!$AH$29</c:f>
              <c:strCache>
                <c:ptCount val="1"/>
                <c:pt idx="0">
                  <c:v>96.4%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'最大定格(信頼性)'!$AF$29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'最大定格(信頼性)'!$AG$29</c:f>
              <c:numCache>
                <c:formatCode>General</c:formatCode>
                <c:ptCount val="1"/>
                <c:pt idx="0">
                  <c:v>1200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'最大定格(信頼性)'!$AH$30</c:f>
              <c:strCache>
                <c:ptCount val="1"/>
                <c:pt idx="0">
                  <c:v>96.2%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'最大定格(信頼性)'!$AF$30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'最大定格(信頼性)'!$AG$30</c:f>
              <c:numCache>
                <c:formatCode>General</c:formatCode>
                <c:ptCount val="1"/>
                <c:pt idx="0">
                  <c:v>1400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'最大定格(信頼性)'!$AH$31</c:f>
              <c:strCache>
                <c:ptCount val="1"/>
                <c:pt idx="0">
                  <c:v>96.4%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'最大定格(信頼性)'!$AF$31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'最大定格(信頼性)'!$AG$31</c:f>
              <c:numCache>
                <c:formatCode>General</c:formatCode>
                <c:ptCount val="1"/>
                <c:pt idx="0">
                  <c:v>1600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'最大定格(信頼性)'!$AH$32</c:f>
              <c:strCache>
                <c:ptCount val="1"/>
                <c:pt idx="0">
                  <c:v>97.0%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'最大定格(信頼性)'!$AF$32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'最大定格(信頼性)'!$AG$32</c:f>
              <c:numCache>
                <c:formatCode>General</c:formatCode>
                <c:ptCount val="1"/>
                <c:pt idx="0">
                  <c:v>920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'最大定格(信頼性)'!$AH$33</c:f>
              <c:strCache>
                <c:ptCount val="1"/>
                <c:pt idx="0">
                  <c:v>98.5%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'最大定格(信頼性)'!$AF$33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'最大定格(信頼性)'!$AG$33</c:f>
              <c:numCache>
                <c:formatCode>General</c:formatCode>
                <c:ptCount val="1"/>
                <c:pt idx="0">
                  <c:v>1080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'最大定格(信頼性)'!$AH$34</c:f>
              <c:strCache>
                <c:ptCount val="1"/>
                <c:pt idx="0">
                  <c:v>98.4%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'最大定格(信頼性)'!$AF$34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'最大定格(信頼性)'!$AG$34</c:f>
              <c:numCache>
                <c:formatCode>General</c:formatCode>
                <c:ptCount val="1"/>
                <c:pt idx="0">
                  <c:v>1400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'最大定格(信頼性)'!$AH$35</c:f>
              <c:strCache>
                <c:ptCount val="1"/>
                <c:pt idx="0">
                  <c:v>97.9%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'最大定格(信頼性)'!$AF$35</c:f>
              <c:numCache>
                <c:formatCode>General</c:formatCode>
                <c:ptCount val="1"/>
                <c:pt idx="0">
                  <c:v>120</c:v>
                </c:pt>
              </c:numCache>
            </c:numRef>
          </c:xVal>
          <c:yVal>
            <c:numRef>
              <c:f>'最大定格(信頼性)'!$AG$35</c:f>
              <c:numCache>
                <c:formatCode>General</c:formatCode>
                <c:ptCount val="1"/>
                <c:pt idx="0">
                  <c:v>1200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592064"/>
        <c:axId val="59602432"/>
      </c:scatterChart>
      <c:valAx>
        <c:axId val="59592064"/>
        <c:scaling>
          <c:orientation val="minMax"/>
          <c:max val="130"/>
          <c:min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602432"/>
        <c:crosses val="autoZero"/>
        <c:crossBetween val="midCat"/>
      </c:valAx>
      <c:valAx>
        <c:axId val="59602432"/>
        <c:scaling>
          <c:orientation val="minMax"/>
          <c:max val="1500"/>
          <c:min val="8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592064"/>
        <c:crosses val="autoZero"/>
        <c:crossBetween val="midCat"/>
        <c:majorUnit val="1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'最大定格(信頼性)'!$M$32:$M$35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'最大定格(信頼性)'!$N$32:$N$35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614720"/>
        <c:axId val="59616640"/>
      </c:scatterChart>
      <c:valAx>
        <c:axId val="59614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616640"/>
        <c:crosses val="autoZero"/>
        <c:crossBetween val="midCat"/>
      </c:valAx>
      <c:valAx>
        <c:axId val="596166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61472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'最大定格(信頼性)'!$T$32:$T$35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'最大定格(信頼性)'!$U$32:$U$35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477312"/>
        <c:axId val="116487680"/>
      </c:scatterChart>
      <c:valAx>
        <c:axId val="116477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6487680"/>
        <c:crosses val="autoZero"/>
        <c:crossBetween val="midCat"/>
      </c:valAx>
      <c:valAx>
        <c:axId val="1164876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647731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'最大定格(信頼性)'!$AA$32:$AA$35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'最大定格(信頼性)'!$AB$32:$AB$35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512256"/>
        <c:axId val="116514176"/>
      </c:scatterChart>
      <c:valAx>
        <c:axId val="116512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6514176"/>
        <c:crosses val="autoZero"/>
        <c:crossBetween val="midCat"/>
      </c:valAx>
      <c:valAx>
        <c:axId val="1165141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651225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'最大定格(信頼性)'!$F$32:$F$35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'最大定格(信頼性)'!$G$32:$G$35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604288"/>
        <c:axId val="116610560"/>
      </c:scatterChart>
      <c:valAx>
        <c:axId val="116604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6610560"/>
        <c:crosses val="autoZero"/>
        <c:crossBetween val="midCat"/>
      </c:valAx>
      <c:valAx>
        <c:axId val="1166105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660428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'最大定格(信頼性)'!$AA$7:$AA$10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'最大定格(信頼性)'!$AB$7:$AB$10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'最大定格(信頼性)'!$X$104:$X$106</c:f>
              <c:numCache>
                <c:formatCode>0.0</c:formatCode>
                <c:ptCount val="3"/>
                <c:pt idx="0">
                  <c:v>91.271010425861078</c:v>
                </c:pt>
                <c:pt idx="1">
                  <c:v>109.95985905446892</c:v>
                </c:pt>
                <c:pt idx="2">
                  <c:v>125.45122972886752</c:v>
                </c:pt>
              </c:numCache>
            </c:numRef>
          </c:xVal>
          <c:yVal>
            <c:numRef>
              <c:f>'最大定格(信頼性)'!$Y$104:$Y$106</c:f>
              <c:numCache>
                <c:formatCode>0.0</c:formatCode>
                <c:ptCount val="3"/>
                <c:pt idx="0">
                  <c:v>1400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'最大定格(信頼性)'!$AA$104:$AA$106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'最大定格(信頼性)'!$AB$104:$AB$106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748544"/>
        <c:axId val="124750464"/>
      </c:scatterChart>
      <c:valAx>
        <c:axId val="124748544"/>
        <c:scaling>
          <c:orientation val="minMax"/>
          <c:max val="14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750464"/>
        <c:crosses val="autoZero"/>
        <c:crossBetween val="midCat"/>
      </c:valAx>
      <c:valAx>
        <c:axId val="124750464"/>
        <c:scaling>
          <c:orientation val="minMax"/>
          <c:max val="1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748544"/>
        <c:crosses val="autoZero"/>
        <c:crossBetween val="midCat"/>
        <c:majorUnit val="4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(2)'!$M$82:$M$85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(2)'!$N$82:$N$85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840576"/>
        <c:axId val="59212544"/>
      </c:scatterChart>
      <c:valAx>
        <c:axId val="124840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212544"/>
        <c:crosses val="autoZero"/>
        <c:crossBetween val="midCat"/>
      </c:valAx>
      <c:valAx>
        <c:axId val="592125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84057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(2)'!$T$82:$T$85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(2)'!$U$82:$U$85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241216"/>
        <c:axId val="59243136"/>
      </c:scatterChart>
      <c:valAx>
        <c:axId val="59241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243136"/>
        <c:crosses val="autoZero"/>
        <c:crossBetween val="midCat"/>
      </c:valAx>
      <c:valAx>
        <c:axId val="592431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24121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(2)'!$AA$82:$AA$85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(2)'!$AB$82:$AB$85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128448"/>
        <c:axId val="59147008"/>
      </c:scatterChart>
      <c:valAx>
        <c:axId val="59128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147008"/>
        <c:crosses val="autoZero"/>
        <c:crossBetween val="midCat"/>
      </c:valAx>
      <c:valAx>
        <c:axId val="591470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12844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(2)'!$F$82:$F$85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(2)'!$G$82:$G$85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315328"/>
        <c:axId val="59317248"/>
      </c:scatterChart>
      <c:valAx>
        <c:axId val="59315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317248"/>
        <c:crosses val="autoZero"/>
        <c:crossBetween val="midCat"/>
      </c:valAx>
      <c:valAx>
        <c:axId val="593172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31532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(2)'!$J$106:$J$109</c:f>
              <c:numCache>
                <c:formatCode>General</c:formatCode>
                <c:ptCount val="4"/>
                <c:pt idx="0">
                  <c:v>0</c:v>
                </c:pt>
                <c:pt idx="1">
                  <c:v>85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 (2)'!$K$106:$K$109</c:f>
              <c:numCache>
                <c:formatCode>General</c:formatCode>
                <c:ptCount val="4"/>
                <c:pt idx="0">
                  <c:v>350</c:v>
                </c:pt>
                <c:pt idx="1">
                  <c:v>350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329536"/>
        <c:axId val="59360384"/>
      </c:scatterChart>
      <c:valAx>
        <c:axId val="59329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360384"/>
        <c:crosses val="autoZero"/>
        <c:crossBetween val="midCat"/>
      </c:valAx>
      <c:valAx>
        <c:axId val="593603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932953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(2)'!$Q$106:$Q$109</c:f>
              <c:numCache>
                <c:formatCode>General</c:formatCode>
                <c:ptCount val="4"/>
                <c:pt idx="0">
                  <c:v>0</c:v>
                </c:pt>
                <c:pt idx="1">
                  <c:v>65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 (2)'!$R$106:$R$109</c:f>
              <c:numCache>
                <c:formatCode>General</c:formatCode>
                <c:ptCount val="4"/>
                <c:pt idx="0">
                  <c:v>700</c:v>
                </c:pt>
                <c:pt idx="1">
                  <c:v>700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121664"/>
        <c:axId val="125123584"/>
      </c:scatterChart>
      <c:valAx>
        <c:axId val="125121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123584"/>
        <c:crosses val="autoZero"/>
        <c:crossBetween val="midCat"/>
      </c:valAx>
      <c:valAx>
        <c:axId val="1251235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12166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(2)'!$X$106:$X$109</c:f>
              <c:numCache>
                <c:formatCode>General</c:formatCode>
                <c:ptCount val="4"/>
                <c:pt idx="0">
                  <c:v>0</c:v>
                </c:pt>
                <c:pt idx="1">
                  <c:v>65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 (2)'!$Y$106:$Y$109</c:f>
              <c:numCache>
                <c:formatCode>General</c:formatCode>
                <c:ptCount val="4"/>
                <c:pt idx="0">
                  <c:v>1400</c:v>
                </c:pt>
                <c:pt idx="1">
                  <c:v>1400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152256"/>
        <c:axId val="125154432"/>
      </c:scatterChart>
      <c:valAx>
        <c:axId val="125152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154432"/>
        <c:crosses val="autoZero"/>
        <c:crossBetween val="midCat"/>
      </c:valAx>
      <c:valAx>
        <c:axId val="1251544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15225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(2)'!$C$106:$C$109</c:f>
              <c:numCache>
                <c:formatCode>General</c:formatCode>
                <c:ptCount val="4"/>
                <c:pt idx="0">
                  <c:v>0</c:v>
                </c:pt>
                <c:pt idx="1">
                  <c:v>85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 (2)'!$D$106:$D$109</c:f>
              <c:numCache>
                <c:formatCode>General</c:formatCode>
                <c:ptCount val="4"/>
                <c:pt idx="0">
                  <c:v>350</c:v>
                </c:pt>
                <c:pt idx="1">
                  <c:v>350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244544"/>
        <c:axId val="125246464"/>
      </c:scatterChart>
      <c:valAx>
        <c:axId val="125244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246464"/>
        <c:crosses val="autoZero"/>
        <c:crossBetween val="midCat"/>
      </c:valAx>
      <c:valAx>
        <c:axId val="1252464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24454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(2)'!$M$32:$M$35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(2)'!$N$32:$N$35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(2)'!$J$129:$J$131</c:f>
              <c:numCache>
                <c:formatCode>0.0</c:formatCode>
                <c:ptCount val="3"/>
                <c:pt idx="0">
                  <c:v>106.42575342399756</c:v>
                </c:pt>
                <c:pt idx="1">
                  <c:v>115.22610840755731</c:v>
                </c:pt>
                <c:pt idx="2">
                  <c:v>127.98688747594973</c:v>
                </c:pt>
              </c:numCache>
            </c:numRef>
          </c:xVal>
          <c:yVal>
            <c:numRef>
              <c:f>'最大定格(信頼性) (2)'!$K$129:$K$131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70"/>
            <c:backward val="90"/>
            <c:dispRSqr val="0"/>
            <c:dispEq val="0"/>
          </c:trendline>
          <c:xVal>
            <c:numRef>
              <c:f>'最大定格(信頼性) (2)'!$M$129:$M$131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(2)'!$N$129:$N$131</c:f>
              <c:numCache>
                <c:formatCode>0.0</c:formatCode>
                <c:ptCount val="3"/>
                <c:pt idx="0">
                  <c:v>578.64967167371776</c:v>
                </c:pt>
                <c:pt idx="1">
                  <c:v>471.78363999649184</c:v>
                </c:pt>
                <c:pt idx="2">
                  <c:v>390.86335008821027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03040"/>
        <c:axId val="125305216"/>
      </c:scatterChart>
      <c:valAx>
        <c:axId val="125303040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305216"/>
        <c:crosses val="autoZero"/>
        <c:crossBetween val="midCat"/>
      </c:valAx>
      <c:valAx>
        <c:axId val="125305216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30304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(2)'!$T$32:$T$35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(2)'!$U$32:$U$35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15"/>
            <c:backward val="100"/>
            <c:dispRSqr val="0"/>
            <c:dispEq val="0"/>
          </c:trendline>
          <c:xVal>
            <c:numRef>
              <c:f>'最大定格(信頼性) (2)'!$Q$129:$Q$131</c:f>
              <c:numCache>
                <c:formatCode>0.0</c:formatCode>
                <c:ptCount val="3"/>
                <c:pt idx="0">
                  <c:v>104.17682692446191</c:v>
                </c:pt>
                <c:pt idx="1">
                  <c:v>113.5746980846008</c:v>
                </c:pt>
                <c:pt idx="2">
                  <c:v>127.19124803521957</c:v>
                </c:pt>
              </c:numCache>
            </c:numRef>
          </c:xVal>
          <c:yVal>
            <c:numRef>
              <c:f>'最大定格(信頼性) (2)'!$R$129:$R$131</c:f>
              <c:numCache>
                <c:formatCode>0.0</c:formatCode>
                <c:ptCount val="3"/>
                <c:pt idx="0">
                  <c:v>600</c:v>
                </c:pt>
                <c:pt idx="1">
                  <c:v>460</c:v>
                </c:pt>
                <c:pt idx="2">
                  <c:v>240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80"/>
            <c:dispRSqr val="0"/>
            <c:dispEq val="0"/>
          </c:trendline>
          <c:xVal>
            <c:numRef>
              <c:f>'最大定格(信頼性) (2)'!$T$129:$T$131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(2)'!$U$129:$U$131</c:f>
              <c:numCache>
                <c:formatCode>0.0</c:formatCode>
                <c:ptCount val="3"/>
                <c:pt idx="0">
                  <c:v>621.71309617099109</c:v>
                </c:pt>
                <c:pt idx="1">
                  <c:v>511.8932506967987</c:v>
                </c:pt>
                <c:pt idx="2">
                  <c:v>424.98316017085222</c:v>
                </c:pt>
              </c:numCache>
            </c:numRef>
          </c:yVal>
          <c:smooth val="0"/>
        </c:ser>
        <c:ser>
          <c:idx val="3"/>
          <c:order val="3"/>
          <c:marker>
            <c:symbol val="circle"/>
            <c:size val="5"/>
          </c:marker>
          <c:xVal>
            <c:numRef>
              <c:f>'最大定格(信頼性) (2)'!$U$27</c:f>
              <c:numCache>
                <c:formatCode>General</c:formatCode>
                <c:ptCount val="1"/>
                <c:pt idx="0">
                  <c:v>119.9</c:v>
                </c:pt>
              </c:numCache>
            </c:numRef>
          </c:xVal>
          <c:yVal>
            <c:numRef>
              <c:f>'最大定格(信頼性) (2)'!$T$27</c:f>
              <c:numCache>
                <c:formatCode>General</c:formatCode>
                <c:ptCount val="1"/>
                <c:pt idx="0">
                  <c:v>350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50272"/>
        <c:axId val="125352192"/>
      </c:scatterChart>
      <c:valAx>
        <c:axId val="125350272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352192"/>
        <c:crosses val="autoZero"/>
        <c:crossBetween val="midCat"/>
      </c:valAx>
      <c:valAx>
        <c:axId val="125352192"/>
        <c:scaling>
          <c:orientation val="minMax"/>
          <c:max val="12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35027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(2)'!$AA$32:$AA$35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(2)'!$AB$32:$AB$35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(2)'!$X$129:$X$131</c:f>
              <c:numCache>
                <c:formatCode>0.0</c:formatCode>
                <c:ptCount val="3"/>
                <c:pt idx="0">
                  <c:v>99.22287411602349</c:v>
                </c:pt>
                <c:pt idx="1">
                  <c:v>109.94127235783611</c:v>
                </c:pt>
                <c:pt idx="2">
                  <c:v>125.44229292826823</c:v>
                </c:pt>
              </c:numCache>
            </c:numRef>
          </c:xVal>
          <c:yVal>
            <c:numRef>
              <c:f>'最大定格(信頼性) (2)'!$Y$129:$Y$131</c:f>
              <c:numCache>
                <c:formatCode>0.0</c:formatCode>
                <c:ptCount val="3"/>
                <c:pt idx="0">
                  <c:v>1200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 (2)'!$AA$129:$AA$131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(2)'!$AB$129:$AB$131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ser>
          <c:idx val="3"/>
          <c:order val="3"/>
          <c:marker>
            <c:symbol val="circle"/>
            <c:size val="5"/>
          </c:marker>
          <c:xVal>
            <c:numRef>
              <c:f>'最大定格(信頼性) (2)'!$AB$27</c:f>
              <c:numCache>
                <c:formatCode>General</c:formatCode>
                <c:ptCount val="1"/>
                <c:pt idx="0">
                  <c:v>117.3</c:v>
                </c:pt>
              </c:numCache>
            </c:numRef>
          </c:xVal>
          <c:yVal>
            <c:numRef>
              <c:f>'最大定格(信頼性) (2)'!$AA$27</c:f>
              <c:numCache>
                <c:formatCode>General</c:formatCode>
                <c:ptCount val="1"/>
                <c:pt idx="0">
                  <c:v>700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401344"/>
        <c:axId val="125411712"/>
      </c:scatterChart>
      <c:valAx>
        <c:axId val="125401344"/>
        <c:scaling>
          <c:orientation val="minMax"/>
          <c:max val="14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411712"/>
        <c:crosses val="autoZero"/>
        <c:crossBetween val="midCat"/>
      </c:valAx>
      <c:valAx>
        <c:axId val="125411712"/>
        <c:scaling>
          <c:orientation val="minMax"/>
          <c:max val="1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401344"/>
        <c:crosses val="autoZero"/>
        <c:crossBetween val="midCat"/>
        <c:majorUnit val="4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(2)'!$F$32:$F$35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(2)'!$G$32:$G$35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(2)'!$C$129:$C$131</c:f>
              <c:numCache>
                <c:formatCode>0.0</c:formatCode>
                <c:ptCount val="3"/>
                <c:pt idx="0">
                  <c:v>104.05408546064179</c:v>
                </c:pt>
                <c:pt idx="1">
                  <c:v>113.28248742741461</c:v>
                </c:pt>
                <c:pt idx="2">
                  <c:v>127.14860772651872</c:v>
                </c:pt>
              </c:numCache>
            </c:numRef>
          </c:xVal>
          <c:yVal>
            <c:numRef>
              <c:f>'最大定格(信頼性) (2)'!$D$129:$D$131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50"/>
            <c:backward val="90"/>
            <c:dispRSqr val="0"/>
            <c:dispEq val="0"/>
          </c:trendline>
          <c:xVal>
            <c:numRef>
              <c:f>'最大定格(信頼性) (2)'!$F$129:$F$131</c:f>
              <c:numCache>
                <c:formatCode>0.0</c:formatCode>
                <c:ptCount val="3"/>
                <c:pt idx="0">
                  <c:v>90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(2)'!$G$129:$G$131</c:f>
              <c:numCache>
                <c:formatCode>0.0</c:formatCode>
                <c:ptCount val="3"/>
                <c:pt idx="0">
                  <c:v>1021.5031914026682</c:v>
                </c:pt>
                <c:pt idx="1">
                  <c:v>802.34774484946365</c:v>
                </c:pt>
                <c:pt idx="2">
                  <c:v>641.65012095108443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447552"/>
        <c:axId val="125466112"/>
      </c:scatterChart>
      <c:valAx>
        <c:axId val="125447552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466112"/>
        <c:crosses val="autoZero"/>
        <c:crossBetween val="midCat"/>
      </c:valAx>
      <c:valAx>
        <c:axId val="125466112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44755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CLU712-1204C9(</a:t>
            </a:r>
            <a:r>
              <a:rPr lang="ja-JP" altLang="en-US"/>
              <a:t>高温通電＠</a:t>
            </a:r>
            <a:r>
              <a:rPr lang="en-US" altLang="ja-JP"/>
              <a:t>3000h)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(2)'!$AA$32:$AA$35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(2)'!$AB$32:$AB$35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(2)'!$X$129:$X$131</c:f>
              <c:numCache>
                <c:formatCode>0.0</c:formatCode>
                <c:ptCount val="3"/>
                <c:pt idx="0">
                  <c:v>99.22287411602349</c:v>
                </c:pt>
                <c:pt idx="1">
                  <c:v>109.94127235783611</c:v>
                </c:pt>
                <c:pt idx="2">
                  <c:v>125.44229292826823</c:v>
                </c:pt>
              </c:numCache>
            </c:numRef>
          </c:xVal>
          <c:yVal>
            <c:numRef>
              <c:f>'最大定格(信頼性) (2)'!$Y$129:$Y$131</c:f>
              <c:numCache>
                <c:formatCode>0.0</c:formatCode>
                <c:ptCount val="3"/>
                <c:pt idx="0">
                  <c:v>1200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 (2)'!$AA$129:$AA$131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(2)'!$AB$129:$AB$131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'最大定格(信頼性) (2)'!$AH$53</c:f>
              <c:strCache>
                <c:ptCount val="1"/>
                <c:pt idx="0">
                  <c:v>97.7%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(2)'!$AF$53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 (2)'!$AG$53</c:f>
              <c:numCache>
                <c:formatCode>General</c:formatCode>
                <c:ptCount val="1"/>
                <c:pt idx="0">
                  <c:v>1080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'最大定格(信頼性) (2)'!$AH$54</c:f>
              <c:strCache>
                <c:ptCount val="1"/>
                <c:pt idx="0">
                  <c:v>96.4%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(2)'!$AF$54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 (2)'!$AG$54</c:f>
              <c:numCache>
                <c:formatCode>General</c:formatCode>
                <c:ptCount val="1"/>
                <c:pt idx="0">
                  <c:v>1200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'最大定格(信頼性) (2)'!$AH$55</c:f>
              <c:strCache>
                <c:ptCount val="1"/>
                <c:pt idx="0">
                  <c:v>96.2%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(2)'!$AF$55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 (2)'!$AG$55</c:f>
              <c:numCache>
                <c:formatCode>General</c:formatCode>
                <c:ptCount val="1"/>
                <c:pt idx="0">
                  <c:v>1400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'最大定格(信頼性) (2)'!$AH$56</c:f>
              <c:strCache>
                <c:ptCount val="1"/>
                <c:pt idx="0">
                  <c:v>96.4%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(2)'!$AF$56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 (2)'!$AG$56</c:f>
              <c:numCache>
                <c:formatCode>General</c:formatCode>
                <c:ptCount val="1"/>
                <c:pt idx="0">
                  <c:v>1600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'最大定格(信頼性) (2)'!$AH$57</c:f>
              <c:strCache>
                <c:ptCount val="1"/>
                <c:pt idx="0">
                  <c:v>97.0%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(2)'!$AF$57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'最大定格(信頼性) (2)'!$AG$57</c:f>
              <c:numCache>
                <c:formatCode>General</c:formatCode>
                <c:ptCount val="1"/>
                <c:pt idx="0">
                  <c:v>920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'最大定格(信頼性) (2)'!$AH$58</c:f>
              <c:strCache>
                <c:ptCount val="1"/>
                <c:pt idx="0">
                  <c:v>98.5%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(2)'!$AF$58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'最大定格(信頼性) (2)'!$AG$58</c:f>
              <c:numCache>
                <c:formatCode>General</c:formatCode>
                <c:ptCount val="1"/>
                <c:pt idx="0">
                  <c:v>1080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'最大定格(信頼性) (2)'!$AH$59</c:f>
              <c:strCache>
                <c:ptCount val="1"/>
                <c:pt idx="0">
                  <c:v>98.4%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(2)'!$AF$59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'最大定格(信頼性) (2)'!$AG$59</c:f>
              <c:numCache>
                <c:formatCode>General</c:formatCode>
                <c:ptCount val="1"/>
                <c:pt idx="0">
                  <c:v>1400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'最大定格(信頼性) (2)'!$AH$60</c:f>
              <c:strCache>
                <c:ptCount val="1"/>
                <c:pt idx="0">
                  <c:v>97.9%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(2)'!$AF$60</c:f>
              <c:numCache>
                <c:formatCode>General</c:formatCode>
                <c:ptCount val="1"/>
                <c:pt idx="0">
                  <c:v>120</c:v>
                </c:pt>
              </c:numCache>
            </c:numRef>
          </c:xVal>
          <c:yVal>
            <c:numRef>
              <c:f>'最大定格(信頼性) (2)'!$AG$60</c:f>
              <c:numCache>
                <c:formatCode>General</c:formatCode>
                <c:ptCount val="1"/>
                <c:pt idx="0">
                  <c:v>1200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532416"/>
        <c:axId val="125550976"/>
      </c:scatterChart>
      <c:valAx>
        <c:axId val="125532416"/>
        <c:scaling>
          <c:orientation val="minMax"/>
          <c:max val="130"/>
          <c:min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550976"/>
        <c:crosses val="autoZero"/>
        <c:crossBetween val="midCat"/>
      </c:valAx>
      <c:valAx>
        <c:axId val="125550976"/>
        <c:scaling>
          <c:orientation val="minMax"/>
          <c:max val="1500"/>
          <c:min val="8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532416"/>
        <c:crosses val="autoZero"/>
        <c:crossBetween val="midCat"/>
        <c:majorUnit val="1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(2)'!$M$57:$M$60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(2)'!$N$57:$N$60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797312"/>
        <c:axId val="124799232"/>
      </c:scatterChart>
      <c:valAx>
        <c:axId val="124797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799232"/>
        <c:crosses val="autoZero"/>
        <c:crossBetween val="midCat"/>
      </c:valAx>
      <c:valAx>
        <c:axId val="1247992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79731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(2)'!$T$57:$T$60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(2)'!$U$57:$U$60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930304"/>
        <c:axId val="124973440"/>
      </c:scatterChart>
      <c:valAx>
        <c:axId val="124930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973440"/>
        <c:crosses val="autoZero"/>
        <c:crossBetween val="midCat"/>
      </c:valAx>
      <c:valAx>
        <c:axId val="1249734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93030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(2)'!$AA$57:$AA$60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(2)'!$AB$57:$AB$60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583744"/>
        <c:axId val="125585664"/>
      </c:scatterChart>
      <c:valAx>
        <c:axId val="125583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585664"/>
        <c:crosses val="autoZero"/>
        <c:crossBetween val="midCat"/>
      </c:valAx>
      <c:valAx>
        <c:axId val="1255856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58374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(2)'!$F$57:$F$60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(2)'!$G$57:$G$60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012224"/>
        <c:axId val="125018496"/>
      </c:scatterChart>
      <c:valAx>
        <c:axId val="125012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018496"/>
        <c:crosses val="autoZero"/>
        <c:crossBetween val="midCat"/>
      </c:valAx>
      <c:valAx>
        <c:axId val="1250184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01222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(2)'!$AA$32:$AA$35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(2)'!$AB$32:$AB$35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(2)'!$X$129:$X$131</c:f>
              <c:numCache>
                <c:formatCode>0.0</c:formatCode>
                <c:ptCount val="3"/>
                <c:pt idx="0">
                  <c:v>99.22287411602349</c:v>
                </c:pt>
                <c:pt idx="1">
                  <c:v>109.94127235783611</c:v>
                </c:pt>
                <c:pt idx="2">
                  <c:v>125.44229292826823</c:v>
                </c:pt>
              </c:numCache>
            </c:numRef>
          </c:xVal>
          <c:yVal>
            <c:numRef>
              <c:f>'最大定格(信頼性) (2)'!$Y$129:$Y$131</c:f>
              <c:numCache>
                <c:formatCode>0.0</c:formatCode>
                <c:ptCount val="3"/>
                <c:pt idx="0">
                  <c:v>1200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 (2)'!$AA$129:$AA$131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(2)'!$AB$129:$AB$131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906304"/>
        <c:axId val="125924864"/>
      </c:scatterChart>
      <c:valAx>
        <c:axId val="125906304"/>
        <c:scaling>
          <c:orientation val="minMax"/>
          <c:max val="14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924864"/>
        <c:crosses val="autoZero"/>
        <c:crossBetween val="midCat"/>
      </c:valAx>
      <c:valAx>
        <c:axId val="125924864"/>
        <c:scaling>
          <c:orientation val="minMax"/>
          <c:max val="1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906304"/>
        <c:crosses val="autoZero"/>
        <c:crossBetween val="midCat"/>
        <c:majorUnit val="4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(2)'!$M$7:$M$10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(2)'!$N$7:$N$10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(2)'!$J$129:$J$131</c:f>
              <c:numCache>
                <c:formatCode>0.0</c:formatCode>
                <c:ptCount val="3"/>
                <c:pt idx="0">
                  <c:v>106.42575342399756</c:v>
                </c:pt>
                <c:pt idx="1">
                  <c:v>115.22610840755731</c:v>
                </c:pt>
                <c:pt idx="2">
                  <c:v>127.98688747594973</c:v>
                </c:pt>
              </c:numCache>
            </c:numRef>
          </c:xVal>
          <c:yVal>
            <c:numRef>
              <c:f>'最大定格(信頼性) (2)'!$K$129:$K$131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70"/>
            <c:backward val="90"/>
            <c:dispRSqr val="0"/>
            <c:dispEq val="0"/>
          </c:trendline>
          <c:xVal>
            <c:numRef>
              <c:f>'最大定格(信頼性) (2)'!$M$129:$M$131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(2)'!$N$129:$N$131</c:f>
              <c:numCache>
                <c:formatCode>0.0</c:formatCode>
                <c:ptCount val="3"/>
                <c:pt idx="0">
                  <c:v>578.64967167371776</c:v>
                </c:pt>
                <c:pt idx="1">
                  <c:v>471.78363999649184</c:v>
                </c:pt>
                <c:pt idx="2">
                  <c:v>390.86335008821027</c:v>
                </c:pt>
              </c:numCache>
            </c:numRef>
          </c:yVal>
          <c:smooth val="0"/>
        </c:ser>
        <c:ser>
          <c:idx val="3"/>
          <c:order val="3"/>
          <c:tx>
            <c:v>Tj=140℃_ペースト径MAX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C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(2)'!$J$136:$J$138</c:f>
              <c:numCache>
                <c:formatCode>0.0</c:formatCode>
                <c:ptCount val="3"/>
                <c:pt idx="0">
                  <c:v>99.503939563955726</c:v>
                </c:pt>
                <c:pt idx="1">
                  <c:v>110.14725340633434</c:v>
                </c:pt>
                <c:pt idx="2">
                  <c:v>125.54133348138986</c:v>
                </c:pt>
              </c:numCache>
            </c:numRef>
          </c:xVal>
          <c:yVal>
            <c:numRef>
              <c:f>'最大定格(信頼性) (2)'!$K$136:$K$138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982976"/>
        <c:axId val="125997440"/>
      </c:scatterChart>
      <c:valAx>
        <c:axId val="125982976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997440"/>
        <c:crosses val="autoZero"/>
        <c:crossBetween val="midCat"/>
      </c:valAx>
      <c:valAx>
        <c:axId val="125997440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98297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(2)'!$T$7:$T$10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(2)'!$U$7:$U$10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15"/>
            <c:backward val="100"/>
            <c:dispRSqr val="0"/>
            <c:dispEq val="0"/>
          </c:trendline>
          <c:xVal>
            <c:numRef>
              <c:f>'最大定格(信頼性) (2)'!$Q$129:$Q$131</c:f>
              <c:numCache>
                <c:formatCode>0.0</c:formatCode>
                <c:ptCount val="3"/>
                <c:pt idx="0">
                  <c:v>104.17682692446191</c:v>
                </c:pt>
                <c:pt idx="1">
                  <c:v>113.5746980846008</c:v>
                </c:pt>
                <c:pt idx="2">
                  <c:v>127.19124803521957</c:v>
                </c:pt>
              </c:numCache>
            </c:numRef>
          </c:xVal>
          <c:yVal>
            <c:numRef>
              <c:f>'最大定格(信頼性) (2)'!$R$129:$R$131</c:f>
              <c:numCache>
                <c:formatCode>0.0</c:formatCode>
                <c:ptCount val="3"/>
                <c:pt idx="0">
                  <c:v>600</c:v>
                </c:pt>
                <c:pt idx="1">
                  <c:v>460</c:v>
                </c:pt>
                <c:pt idx="2">
                  <c:v>240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 (2)'!$T$129:$T$131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(2)'!$U$129:$U$131</c:f>
              <c:numCache>
                <c:formatCode>0.0</c:formatCode>
                <c:ptCount val="3"/>
                <c:pt idx="0">
                  <c:v>621.71309617099109</c:v>
                </c:pt>
                <c:pt idx="1">
                  <c:v>511.8932506967987</c:v>
                </c:pt>
                <c:pt idx="2">
                  <c:v>424.98316017085222</c:v>
                </c:pt>
              </c:numCache>
            </c:numRef>
          </c:yVal>
          <c:smooth val="0"/>
        </c:ser>
        <c:ser>
          <c:idx val="4"/>
          <c:order val="3"/>
          <c:tx>
            <c:v>Tj=140℃_ペースト径MAX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C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(2)'!$Q$136:$Q$138</c:f>
              <c:numCache>
                <c:formatCode>0.0</c:formatCode>
                <c:ptCount val="3"/>
                <c:pt idx="0">
                  <c:v>96.779973938147549</c:v>
                </c:pt>
                <c:pt idx="1">
                  <c:v>108.15220951005998</c:v>
                </c:pt>
                <c:pt idx="2">
                  <c:v>124.58236527875947</c:v>
                </c:pt>
              </c:numCache>
            </c:numRef>
          </c:xVal>
          <c:yVal>
            <c:numRef>
              <c:f>'最大定格(信頼性) (2)'!$R$136:$R$138</c:f>
              <c:numCache>
                <c:formatCode>0.0</c:formatCode>
                <c:ptCount val="3"/>
                <c:pt idx="0">
                  <c:v>600</c:v>
                </c:pt>
                <c:pt idx="1">
                  <c:v>460</c:v>
                </c:pt>
                <c:pt idx="2">
                  <c:v>240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112896"/>
        <c:axId val="126114816"/>
      </c:scatterChart>
      <c:valAx>
        <c:axId val="126112896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114816"/>
        <c:crosses val="autoZero"/>
        <c:crossBetween val="midCat"/>
      </c:valAx>
      <c:valAx>
        <c:axId val="126114816"/>
        <c:scaling>
          <c:orientation val="minMax"/>
          <c:max val="12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11289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(2)'!$AA$7:$AA$10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(2)'!$AB$7:$AB$10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800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(2)'!$X$129:$X$131</c:f>
              <c:numCache>
                <c:formatCode>0.0</c:formatCode>
                <c:ptCount val="3"/>
                <c:pt idx="0">
                  <c:v>99.22287411602349</c:v>
                </c:pt>
                <c:pt idx="1">
                  <c:v>109.94127235783611</c:v>
                </c:pt>
                <c:pt idx="2">
                  <c:v>125.44229292826823</c:v>
                </c:pt>
              </c:numCache>
            </c:numRef>
          </c:xVal>
          <c:yVal>
            <c:numRef>
              <c:f>'最大定格(信頼性) (2)'!$Y$129:$Y$131</c:f>
              <c:numCache>
                <c:formatCode>0.0</c:formatCode>
                <c:ptCount val="3"/>
                <c:pt idx="0">
                  <c:v>1200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 (2)'!$AA$129:$AA$131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(2)'!$AB$129:$AB$131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ser>
          <c:idx val="4"/>
          <c:order val="3"/>
          <c:tx>
            <c:v>Tj=140℃_ペースト径MAX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C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(2)'!$X$136:$X$138</c:f>
              <c:numCache>
                <c:formatCode>0.0</c:formatCode>
                <c:ptCount val="3"/>
                <c:pt idx="0">
                  <c:v>90.773235871025776</c:v>
                </c:pt>
                <c:pt idx="1">
                  <c:v>103.75859220111558</c:v>
                </c:pt>
                <c:pt idx="2">
                  <c:v>122.47491179571257</c:v>
                </c:pt>
              </c:numCache>
            </c:numRef>
          </c:xVal>
          <c:yVal>
            <c:numRef>
              <c:f>'最大定格(信頼性) (2)'!$Y$136:$Y$138</c:f>
              <c:numCache>
                <c:formatCode>0.0</c:formatCode>
                <c:ptCount val="3"/>
                <c:pt idx="0">
                  <c:v>1200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153472"/>
        <c:axId val="126155392"/>
      </c:scatterChart>
      <c:valAx>
        <c:axId val="126153472"/>
        <c:scaling>
          <c:orientation val="minMax"/>
          <c:max val="14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155392"/>
        <c:crosses val="autoZero"/>
        <c:crossBetween val="midCat"/>
      </c:valAx>
      <c:valAx>
        <c:axId val="126155392"/>
        <c:scaling>
          <c:orientation val="minMax"/>
          <c:max val="1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153472"/>
        <c:crosses val="autoZero"/>
        <c:crossBetween val="midCat"/>
        <c:majorUnit val="4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(2)'!$F$7:$F$10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(2)'!$G$7:$G$10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(2)'!$C$129:$C$131</c:f>
              <c:numCache>
                <c:formatCode>0.0</c:formatCode>
                <c:ptCount val="3"/>
                <c:pt idx="0">
                  <c:v>104.05408546064179</c:v>
                </c:pt>
                <c:pt idx="1">
                  <c:v>113.28248742741461</c:v>
                </c:pt>
                <c:pt idx="2">
                  <c:v>127.14860772651872</c:v>
                </c:pt>
              </c:numCache>
            </c:numRef>
          </c:xVal>
          <c:yVal>
            <c:numRef>
              <c:f>'最大定格(信頼性) (2)'!$D$129:$D$131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50"/>
            <c:backward val="90"/>
            <c:dispRSqr val="0"/>
            <c:dispEq val="0"/>
          </c:trendline>
          <c:xVal>
            <c:numRef>
              <c:f>'最大定格(信頼性) (2)'!$F$129:$F$131</c:f>
              <c:numCache>
                <c:formatCode>0.0</c:formatCode>
                <c:ptCount val="3"/>
                <c:pt idx="0">
                  <c:v>90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(2)'!$G$129:$G$131</c:f>
              <c:numCache>
                <c:formatCode>0.0</c:formatCode>
                <c:ptCount val="3"/>
                <c:pt idx="0">
                  <c:v>1021.5031914026682</c:v>
                </c:pt>
                <c:pt idx="1">
                  <c:v>802.34774484946365</c:v>
                </c:pt>
                <c:pt idx="2">
                  <c:v>641.65012095108443</c:v>
                </c:pt>
              </c:numCache>
            </c:numRef>
          </c:yVal>
          <c:smooth val="0"/>
        </c:ser>
        <c:ser>
          <c:idx val="3"/>
          <c:order val="3"/>
          <c:tx>
            <c:v>Tj=140℃_ペースト径MAX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C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(2)'!$C$136:$C$138</c:f>
              <c:numCache>
                <c:formatCode>0.0</c:formatCode>
                <c:ptCount val="3"/>
                <c:pt idx="0">
                  <c:v>96.642046414396063</c:v>
                </c:pt>
                <c:pt idx="1">
                  <c:v>107.8102180084318</c:v>
                </c:pt>
                <c:pt idx="2">
                  <c:v>124.53471824887889</c:v>
                </c:pt>
              </c:numCache>
            </c:numRef>
          </c:xVal>
          <c:yVal>
            <c:numRef>
              <c:f>'最大定格(信頼性) (2)'!$D$136:$D$138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67040"/>
        <c:axId val="125773312"/>
      </c:scatterChart>
      <c:valAx>
        <c:axId val="125767040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773312"/>
        <c:crosses val="autoZero"/>
        <c:crossBetween val="midCat"/>
      </c:valAx>
      <c:valAx>
        <c:axId val="125773312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76704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(3)'!$M$57:$M$60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(3)'!$N$57:$N$60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498880"/>
        <c:axId val="125500800"/>
      </c:scatterChart>
      <c:valAx>
        <c:axId val="125498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500800"/>
        <c:crosses val="autoZero"/>
        <c:crossBetween val="midCat"/>
      </c:valAx>
      <c:valAx>
        <c:axId val="1255008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49888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(3)'!$T$57:$T$60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(3)'!$U$57:$U$60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427648"/>
        <c:axId val="124429824"/>
      </c:scatterChart>
      <c:valAx>
        <c:axId val="124427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429824"/>
        <c:crosses val="autoZero"/>
        <c:crossBetween val="midCat"/>
      </c:valAx>
      <c:valAx>
        <c:axId val="1244298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42764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(3)'!$AA$57:$AA$60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(3)'!$AB$57:$AB$60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438016"/>
        <c:axId val="124439936"/>
      </c:scatterChart>
      <c:valAx>
        <c:axId val="124438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439936"/>
        <c:crosses val="autoZero"/>
        <c:crossBetween val="midCat"/>
      </c:valAx>
      <c:valAx>
        <c:axId val="12443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43801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(3)'!$F$57:$F$60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(3)'!$G$57:$G$60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547072"/>
        <c:axId val="124548992"/>
      </c:scatterChart>
      <c:valAx>
        <c:axId val="124547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548992"/>
        <c:crosses val="autoZero"/>
        <c:crossBetween val="midCat"/>
      </c:valAx>
      <c:valAx>
        <c:axId val="1245489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54707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(3)'!$J$81:$J$84</c:f>
              <c:numCache>
                <c:formatCode>General</c:formatCode>
                <c:ptCount val="4"/>
                <c:pt idx="0">
                  <c:v>0</c:v>
                </c:pt>
                <c:pt idx="1">
                  <c:v>85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 (3)'!$K$81:$K$84</c:f>
              <c:numCache>
                <c:formatCode>General</c:formatCode>
                <c:ptCount val="4"/>
                <c:pt idx="0">
                  <c:v>350</c:v>
                </c:pt>
                <c:pt idx="1">
                  <c:v>350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577664"/>
        <c:axId val="124579840"/>
      </c:scatterChart>
      <c:valAx>
        <c:axId val="124577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579840"/>
        <c:crosses val="autoZero"/>
        <c:crossBetween val="midCat"/>
      </c:valAx>
      <c:valAx>
        <c:axId val="1245798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57766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(3)'!$Q$81:$Q$84</c:f>
              <c:numCache>
                <c:formatCode>General</c:formatCode>
                <c:ptCount val="4"/>
                <c:pt idx="0">
                  <c:v>0</c:v>
                </c:pt>
                <c:pt idx="1">
                  <c:v>65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 (3)'!$R$81:$R$84</c:f>
              <c:numCache>
                <c:formatCode>General</c:formatCode>
                <c:ptCount val="4"/>
                <c:pt idx="0">
                  <c:v>700</c:v>
                </c:pt>
                <c:pt idx="1">
                  <c:v>700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628992"/>
        <c:axId val="124630912"/>
      </c:scatterChart>
      <c:valAx>
        <c:axId val="124628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630912"/>
        <c:crosses val="autoZero"/>
        <c:crossBetween val="midCat"/>
      </c:valAx>
      <c:valAx>
        <c:axId val="1246309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62899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(3)'!$X$81:$X$84</c:f>
              <c:numCache>
                <c:formatCode>General</c:formatCode>
                <c:ptCount val="4"/>
                <c:pt idx="0">
                  <c:v>0</c:v>
                </c:pt>
                <c:pt idx="1">
                  <c:v>65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 (3)'!$Y$81:$Y$84</c:f>
              <c:numCache>
                <c:formatCode>General</c:formatCode>
                <c:ptCount val="4"/>
                <c:pt idx="0">
                  <c:v>1400</c:v>
                </c:pt>
                <c:pt idx="1">
                  <c:v>1400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826368"/>
        <c:axId val="126828544"/>
      </c:scatterChart>
      <c:valAx>
        <c:axId val="126826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828544"/>
        <c:crosses val="autoZero"/>
        <c:crossBetween val="midCat"/>
      </c:valAx>
      <c:valAx>
        <c:axId val="1268285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82636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(3)'!$C$81:$C$84</c:f>
              <c:numCache>
                <c:formatCode>General</c:formatCode>
                <c:ptCount val="4"/>
                <c:pt idx="0">
                  <c:v>0</c:v>
                </c:pt>
                <c:pt idx="1">
                  <c:v>85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'最大定格(信頼性) (3)'!$D$81:$D$84</c:f>
              <c:numCache>
                <c:formatCode>General</c:formatCode>
                <c:ptCount val="4"/>
                <c:pt idx="0">
                  <c:v>350</c:v>
                </c:pt>
                <c:pt idx="1">
                  <c:v>350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857216"/>
        <c:axId val="126859136"/>
      </c:scatterChart>
      <c:valAx>
        <c:axId val="126857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859136"/>
        <c:crosses val="autoZero"/>
        <c:crossBetween val="midCat"/>
      </c:valAx>
      <c:valAx>
        <c:axId val="1268591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85721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(3)'!$M$7:$M$10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(3)'!$N$7:$N$10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(3)'!$J$104:$J$106</c:f>
              <c:numCache>
                <c:formatCode>0.0</c:formatCode>
                <c:ptCount val="3"/>
                <c:pt idx="0">
                  <c:v>106.42575342399756</c:v>
                </c:pt>
                <c:pt idx="1">
                  <c:v>115.22610840755731</c:v>
                </c:pt>
                <c:pt idx="2">
                  <c:v>127.98688747594973</c:v>
                </c:pt>
              </c:numCache>
            </c:numRef>
          </c:xVal>
          <c:yVal>
            <c:numRef>
              <c:f>'最大定格(信頼性) (3)'!$K$104:$K$106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70"/>
            <c:backward val="90"/>
            <c:dispRSqr val="0"/>
            <c:dispEq val="0"/>
          </c:trendline>
          <c:xVal>
            <c:numRef>
              <c:f>'最大定格(信頼性) (3)'!$M$104:$M$106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(3)'!$N$104:$N$106</c:f>
              <c:numCache>
                <c:formatCode>0.0</c:formatCode>
                <c:ptCount val="3"/>
                <c:pt idx="0">
                  <c:v>578.64967167371776</c:v>
                </c:pt>
                <c:pt idx="1">
                  <c:v>471.78363999649184</c:v>
                </c:pt>
                <c:pt idx="2">
                  <c:v>390.86335008821027</c:v>
                </c:pt>
              </c:numCache>
            </c:numRef>
          </c:yVal>
          <c:smooth val="0"/>
        </c:ser>
        <c:ser>
          <c:idx val="3"/>
          <c:order val="3"/>
          <c:tx>
            <c:v>Tj=140℃_ペースト径MAX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C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(3)'!$J$112:$J$114</c:f>
              <c:numCache>
                <c:formatCode>0.0</c:formatCode>
                <c:ptCount val="3"/>
                <c:pt idx="0">
                  <c:v>100.97143057024113</c:v>
                </c:pt>
                <c:pt idx="1">
                  <c:v>111.22303959998905</c:v>
                </c:pt>
                <c:pt idx="2">
                  <c:v>126.05956229880741</c:v>
                </c:pt>
              </c:numCache>
            </c:numRef>
          </c:xVal>
          <c:yVal>
            <c:numRef>
              <c:f>'最大定格(信頼性) (3)'!$K$112:$K$114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4"/>
          <c:order val="4"/>
          <c:tx>
            <c:v>Tj=140℃_ペースト径OUTLINE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F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(3)'!$J$120:$J$122</c:f>
              <c:numCache>
                <c:formatCode>0.0</c:formatCode>
                <c:ptCount val="3"/>
                <c:pt idx="0">
                  <c:v>93.336694083981143</c:v>
                </c:pt>
                <c:pt idx="1">
                  <c:v>105.6322643939794</c:v>
                </c:pt>
                <c:pt idx="2">
                  <c:v>123.37305805230893</c:v>
                </c:pt>
              </c:numCache>
            </c:numRef>
          </c:xVal>
          <c:yVal>
            <c:numRef>
              <c:f>'最大定格(信頼性) (3)'!$K$120:$K$122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796160"/>
        <c:axId val="126798080"/>
      </c:scatterChart>
      <c:valAx>
        <c:axId val="126796160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798080"/>
        <c:crosses val="autoZero"/>
        <c:crossBetween val="midCat"/>
      </c:valAx>
      <c:valAx>
        <c:axId val="126798080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79616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(3)'!$T$7:$T$10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(3)'!$U$7:$U$10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420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15"/>
            <c:backward val="100"/>
            <c:dispRSqr val="0"/>
            <c:dispEq val="0"/>
          </c:trendline>
          <c:xVal>
            <c:numRef>
              <c:f>'最大定格(信頼性) (3)'!$Q$104:$Q$106</c:f>
              <c:numCache>
                <c:formatCode>0.0</c:formatCode>
                <c:ptCount val="3"/>
                <c:pt idx="0">
                  <c:v>104.17682692446191</c:v>
                </c:pt>
                <c:pt idx="1">
                  <c:v>113.5746980846008</c:v>
                </c:pt>
                <c:pt idx="2">
                  <c:v>127.19124803521957</c:v>
                </c:pt>
              </c:numCache>
            </c:numRef>
          </c:xVal>
          <c:yVal>
            <c:numRef>
              <c:f>'最大定格(信頼性) (3)'!$R$104:$R$106</c:f>
              <c:numCache>
                <c:formatCode>0.0</c:formatCode>
                <c:ptCount val="3"/>
                <c:pt idx="0">
                  <c:v>600</c:v>
                </c:pt>
                <c:pt idx="1">
                  <c:v>460</c:v>
                </c:pt>
                <c:pt idx="2">
                  <c:v>240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 (3)'!$T$104:$T$106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(3)'!$U$104:$U$106</c:f>
              <c:numCache>
                <c:formatCode>0.0</c:formatCode>
                <c:ptCount val="3"/>
                <c:pt idx="0">
                  <c:v>621.71309617099109</c:v>
                </c:pt>
                <c:pt idx="1">
                  <c:v>511.8932506967987</c:v>
                </c:pt>
                <c:pt idx="2">
                  <c:v>424.98316017085222</c:v>
                </c:pt>
              </c:numCache>
            </c:numRef>
          </c:yVal>
          <c:smooth val="0"/>
        </c:ser>
        <c:ser>
          <c:idx val="4"/>
          <c:order val="3"/>
          <c:tx>
            <c:v>Tj=140℃_ペースト径MAX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C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(3)'!$Q$112:$Q$114</c:f>
              <c:numCache>
                <c:formatCode>0.0</c:formatCode>
                <c:ptCount val="3"/>
                <c:pt idx="0">
                  <c:v>92.569886862784287</c:v>
                </c:pt>
                <c:pt idx="1">
                  <c:v>108.50710669990889</c:v>
                </c:pt>
                <c:pt idx="2">
                  <c:v>123.10515684259036</c:v>
                </c:pt>
              </c:numCache>
            </c:numRef>
          </c:xVal>
          <c:yVal>
            <c:numRef>
              <c:f>'最大定格(信頼性) (3)'!$R$112:$R$114</c:f>
              <c:numCache>
                <c:formatCode>0.0</c:formatCode>
                <c:ptCount val="3"/>
                <c:pt idx="0">
                  <c:v>600</c:v>
                </c:pt>
                <c:pt idx="1">
                  <c:v>420</c:v>
                </c:pt>
                <c:pt idx="2">
                  <c:v>240</c:v>
                </c:pt>
              </c:numCache>
            </c:numRef>
          </c:yVal>
          <c:smooth val="0"/>
        </c:ser>
        <c:ser>
          <c:idx val="3"/>
          <c:order val="4"/>
          <c:tx>
            <c:v>Tj=140℃_ペースト径OUTLINE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F0"/>
                </a:solidFill>
              </a:ln>
            </c:spPr>
            <c:trendlineType val="linear"/>
            <c:forward val="25"/>
            <c:backward val="100"/>
            <c:dispRSqr val="0"/>
            <c:dispEq val="0"/>
          </c:trendline>
          <c:xVal>
            <c:numRef>
              <c:f>'最大定格(信頼性) (3)'!$Q$120:$Q$122</c:f>
              <c:numCache>
                <c:formatCode>0.0</c:formatCode>
                <c:ptCount val="3"/>
                <c:pt idx="0">
                  <c:v>87.233394205651265</c:v>
                </c:pt>
                <c:pt idx="1">
                  <c:v>105.00086301825057</c:v>
                </c:pt>
                <c:pt idx="2">
                  <c:v>121.23799123365771</c:v>
                </c:pt>
              </c:numCache>
            </c:numRef>
          </c:xVal>
          <c:yVal>
            <c:numRef>
              <c:f>'最大定格(信頼性) (3)'!$R$120:$R$122</c:f>
              <c:numCache>
                <c:formatCode>0.0</c:formatCode>
                <c:ptCount val="3"/>
                <c:pt idx="0">
                  <c:v>600</c:v>
                </c:pt>
                <c:pt idx="1">
                  <c:v>420</c:v>
                </c:pt>
                <c:pt idx="2">
                  <c:v>240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587648"/>
        <c:axId val="126589568"/>
      </c:scatterChart>
      <c:valAx>
        <c:axId val="126587648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589568"/>
        <c:crosses val="autoZero"/>
        <c:crossBetween val="midCat"/>
      </c:valAx>
      <c:valAx>
        <c:axId val="126589568"/>
        <c:scaling>
          <c:orientation val="minMax"/>
          <c:max val="12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58764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(3)'!$AA$7:$AA$10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(3)'!$AB$7:$AB$10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880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(3)'!$X$104:$X$106</c:f>
              <c:numCache>
                <c:formatCode>0.0</c:formatCode>
                <c:ptCount val="3"/>
                <c:pt idx="0">
                  <c:v>99.22287411602349</c:v>
                </c:pt>
                <c:pt idx="1">
                  <c:v>109.94127235783611</c:v>
                </c:pt>
                <c:pt idx="2">
                  <c:v>125.44229292826823</c:v>
                </c:pt>
              </c:numCache>
            </c:numRef>
          </c:xVal>
          <c:yVal>
            <c:numRef>
              <c:f>'最大定格(信頼性) (3)'!$Y$104:$Y$106</c:f>
              <c:numCache>
                <c:formatCode>0.0</c:formatCode>
                <c:ptCount val="3"/>
                <c:pt idx="0">
                  <c:v>1200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 (3)'!$AA$104:$AA$106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(3)'!$AB$104:$AB$106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ser>
          <c:idx val="4"/>
          <c:order val="3"/>
          <c:tx>
            <c:v>Tj=140℃_ペースト径MAX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C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(3)'!$X$112:$X$114</c:f>
              <c:numCache>
                <c:formatCode>0.0</c:formatCode>
                <c:ptCount val="3"/>
                <c:pt idx="0">
                  <c:v>94.793788965725568</c:v>
                </c:pt>
                <c:pt idx="1">
                  <c:v>108.34218959853077</c:v>
                </c:pt>
                <c:pt idx="2">
                  <c:v>123.88440170056086</c:v>
                </c:pt>
              </c:numCache>
            </c:numRef>
          </c:xVal>
          <c:yVal>
            <c:numRef>
              <c:f>'最大定格(信頼性) (3)'!$Y$112:$Y$114</c:f>
              <c:numCache>
                <c:formatCode>0.0</c:formatCode>
                <c:ptCount val="3"/>
                <c:pt idx="0">
                  <c:v>1200</c:v>
                </c:pt>
                <c:pt idx="1">
                  <c:v>880</c:v>
                </c:pt>
                <c:pt idx="2">
                  <c:v>480</c:v>
                </c:pt>
              </c:numCache>
            </c:numRef>
          </c:yVal>
          <c:smooth val="0"/>
        </c:ser>
        <c:ser>
          <c:idx val="3"/>
          <c:order val="4"/>
          <c:tx>
            <c:v>Tj=140℃_ペースト径OUTLINE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F0"/>
                </a:solidFill>
              </a:ln>
            </c:spPr>
            <c:trendlineType val="linear"/>
            <c:forward val="25"/>
            <c:backward val="100"/>
            <c:dispRSqr val="0"/>
            <c:dispEq val="0"/>
          </c:trendline>
          <c:xVal>
            <c:numRef>
              <c:f>'最大定格(信頼性) (3)'!$X$120:$X$122</c:f>
              <c:numCache>
                <c:formatCode>0.0</c:formatCode>
                <c:ptCount val="3"/>
                <c:pt idx="0">
                  <c:v>89.980627184385469</c:v>
                </c:pt>
                <c:pt idx="1">
                  <c:v>106.00021641740477</c:v>
                </c:pt>
                <c:pt idx="2">
                  <c:v>122.19759012741508</c:v>
                </c:pt>
              </c:numCache>
            </c:numRef>
          </c:xVal>
          <c:yVal>
            <c:numRef>
              <c:f>'最大定格(信頼性) (3)'!$Y$120:$Y$122</c:f>
              <c:numCache>
                <c:formatCode>0.0</c:formatCode>
                <c:ptCount val="3"/>
                <c:pt idx="0">
                  <c:v>1200</c:v>
                </c:pt>
                <c:pt idx="1">
                  <c:v>880</c:v>
                </c:pt>
                <c:pt idx="2">
                  <c:v>480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715008"/>
        <c:axId val="126716928"/>
      </c:scatterChart>
      <c:valAx>
        <c:axId val="126715008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716928"/>
        <c:crosses val="autoZero"/>
        <c:crossBetween val="midCat"/>
      </c:valAx>
      <c:valAx>
        <c:axId val="126716928"/>
        <c:scaling>
          <c:orientation val="minMax"/>
          <c:max val="1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715008"/>
        <c:crosses val="autoZero"/>
        <c:crossBetween val="midCat"/>
        <c:majorUnit val="4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(3)'!$F$7:$F$10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(3)'!$G$7:$G$10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(3)'!$C$104:$C$106</c:f>
              <c:numCache>
                <c:formatCode>0.0</c:formatCode>
                <c:ptCount val="3"/>
                <c:pt idx="0">
                  <c:v>104.05408546064179</c:v>
                </c:pt>
                <c:pt idx="1">
                  <c:v>113.28248742741461</c:v>
                </c:pt>
                <c:pt idx="2">
                  <c:v>127.14860772651872</c:v>
                </c:pt>
              </c:numCache>
            </c:numRef>
          </c:xVal>
          <c:yVal>
            <c:numRef>
              <c:f>'最大定格(信頼性) (3)'!$D$104:$D$106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50"/>
            <c:backward val="90"/>
            <c:dispRSqr val="0"/>
            <c:dispEq val="0"/>
          </c:trendline>
          <c:xVal>
            <c:numRef>
              <c:f>'最大定格(信頼性) (3)'!$F$104:$F$106</c:f>
              <c:numCache>
                <c:formatCode>0.0</c:formatCode>
                <c:ptCount val="3"/>
                <c:pt idx="0">
                  <c:v>90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(3)'!$G$104:$G$106</c:f>
              <c:numCache>
                <c:formatCode>0.0</c:formatCode>
                <c:ptCount val="3"/>
                <c:pt idx="0">
                  <c:v>1021.5031914026682</c:v>
                </c:pt>
                <c:pt idx="1">
                  <c:v>802.34774484946365</c:v>
                </c:pt>
                <c:pt idx="2">
                  <c:v>641.65012095108443</c:v>
                </c:pt>
              </c:numCache>
            </c:numRef>
          </c:yVal>
          <c:smooth val="0"/>
        </c:ser>
        <c:ser>
          <c:idx val="3"/>
          <c:order val="3"/>
          <c:tx>
            <c:v>Tj=140℃_ペースト径MAX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C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(3)'!$C$112:$C$114</c:f>
              <c:numCache>
                <c:formatCode>0.0</c:formatCode>
                <c:ptCount val="3"/>
                <c:pt idx="0">
                  <c:v>95.813443671300391</c:v>
                </c:pt>
                <c:pt idx="1">
                  <c:v>107.19975166098983</c:v>
                </c:pt>
                <c:pt idx="2">
                  <c:v>124.24360306566312</c:v>
                </c:pt>
              </c:numCache>
            </c:numRef>
          </c:xVal>
          <c:yVal>
            <c:numRef>
              <c:f>'最大定格(信頼性) (3)'!$D$112:$D$114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4"/>
          <c:order val="4"/>
          <c:tx>
            <c:v>Tj=140℃_ペースト径OUTLINE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F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(3)'!$C$120:$C$122</c:f>
              <c:numCache>
                <c:formatCode>0.0</c:formatCode>
                <c:ptCount val="3"/>
                <c:pt idx="0">
                  <c:v>93.337463828444385</c:v>
                </c:pt>
                <c:pt idx="1">
                  <c:v>105.37509824112671</c:v>
                </c:pt>
                <c:pt idx="2">
                  <c:v>123.37502220251677</c:v>
                </c:pt>
              </c:numCache>
            </c:numRef>
          </c:xVal>
          <c:yVal>
            <c:numRef>
              <c:f>'最大定格(信頼性) (3)'!$D$120:$D$122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662144"/>
        <c:axId val="126664064"/>
      </c:scatterChart>
      <c:valAx>
        <c:axId val="126662144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664064"/>
        <c:crosses val="autoZero"/>
        <c:crossBetween val="midCat"/>
      </c:valAx>
      <c:valAx>
        <c:axId val="126664064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66214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CLU712-1204C9(</a:t>
            </a:r>
            <a:r>
              <a:rPr lang="ja-JP" altLang="en-US"/>
              <a:t>高温通電＠</a:t>
            </a:r>
            <a:r>
              <a:rPr lang="en-US" altLang="ja-JP"/>
              <a:t>3000h)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(3)'!$AA$7:$AA$10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(3)'!$AB$7:$AB$10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880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(3)'!$X$104:$X$106</c:f>
              <c:numCache>
                <c:formatCode>0.0</c:formatCode>
                <c:ptCount val="3"/>
                <c:pt idx="0">
                  <c:v>99.22287411602349</c:v>
                </c:pt>
                <c:pt idx="1">
                  <c:v>109.94127235783611</c:v>
                </c:pt>
                <c:pt idx="2">
                  <c:v>125.44229292826823</c:v>
                </c:pt>
              </c:numCache>
            </c:numRef>
          </c:xVal>
          <c:yVal>
            <c:numRef>
              <c:f>'最大定格(信頼性) (3)'!$Y$104:$Y$106</c:f>
              <c:numCache>
                <c:formatCode>0.0</c:formatCode>
                <c:ptCount val="3"/>
                <c:pt idx="0">
                  <c:v>1200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 (3)'!$AA$104:$AA$106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(3)'!$AB$104:$AB$106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'最大定格(信頼性) (3)'!$AH$28</c:f>
              <c:strCache>
                <c:ptCount val="1"/>
                <c:pt idx="0">
                  <c:v>97.7%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(3)'!$AF$28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 (3)'!$AG$28</c:f>
              <c:numCache>
                <c:formatCode>General</c:formatCode>
                <c:ptCount val="1"/>
                <c:pt idx="0">
                  <c:v>1080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'最大定格(信頼性) (3)'!$AH$29</c:f>
              <c:strCache>
                <c:ptCount val="1"/>
                <c:pt idx="0">
                  <c:v>96.4%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(3)'!$AF$29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 (3)'!$AG$29</c:f>
              <c:numCache>
                <c:formatCode>General</c:formatCode>
                <c:ptCount val="1"/>
                <c:pt idx="0">
                  <c:v>1200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'最大定格(信頼性) (3)'!$AH$30</c:f>
              <c:strCache>
                <c:ptCount val="1"/>
                <c:pt idx="0">
                  <c:v>96.2%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(3)'!$AF$30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 (3)'!$AG$30</c:f>
              <c:numCache>
                <c:formatCode>General</c:formatCode>
                <c:ptCount val="1"/>
                <c:pt idx="0">
                  <c:v>1400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'最大定格(信頼性) (3)'!$AH$31</c:f>
              <c:strCache>
                <c:ptCount val="1"/>
                <c:pt idx="0">
                  <c:v>96.4%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(3)'!$AF$31</c:f>
              <c:numCache>
                <c:formatCode>General</c:formatCode>
                <c:ptCount val="1"/>
                <c:pt idx="0">
                  <c:v>85</c:v>
                </c:pt>
              </c:numCache>
            </c:numRef>
          </c:xVal>
          <c:yVal>
            <c:numRef>
              <c:f>'最大定格(信頼性) (3)'!$AG$31</c:f>
              <c:numCache>
                <c:formatCode>General</c:formatCode>
                <c:ptCount val="1"/>
                <c:pt idx="0">
                  <c:v>1600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'最大定格(信頼性) (3)'!$AH$32</c:f>
              <c:strCache>
                <c:ptCount val="1"/>
                <c:pt idx="0">
                  <c:v>97.0%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(3)'!$AF$32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'最大定格(信頼性) (3)'!$AG$32</c:f>
              <c:numCache>
                <c:formatCode>General</c:formatCode>
                <c:ptCount val="1"/>
                <c:pt idx="0">
                  <c:v>920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'最大定格(信頼性) (3)'!$AH$33</c:f>
              <c:strCache>
                <c:ptCount val="1"/>
                <c:pt idx="0">
                  <c:v>98.5%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(3)'!$AF$33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'最大定格(信頼性) (3)'!$AG$33</c:f>
              <c:numCache>
                <c:formatCode>General</c:formatCode>
                <c:ptCount val="1"/>
                <c:pt idx="0">
                  <c:v>1080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'最大定格(信頼性) (3)'!$AH$34</c:f>
              <c:strCache>
                <c:ptCount val="1"/>
                <c:pt idx="0">
                  <c:v>98.4%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(3)'!$AF$34</c:f>
              <c:numCache>
                <c:formatCode>General</c:formatCode>
                <c:ptCount val="1"/>
                <c:pt idx="0">
                  <c:v>105</c:v>
                </c:pt>
              </c:numCache>
            </c:numRef>
          </c:xVal>
          <c:yVal>
            <c:numRef>
              <c:f>'最大定格(信頼性) (3)'!$AG$34</c:f>
              <c:numCache>
                <c:formatCode>General</c:formatCode>
                <c:ptCount val="1"/>
                <c:pt idx="0">
                  <c:v>1400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'最大定格(信頼性) (3)'!$AH$35</c:f>
              <c:strCache>
                <c:ptCount val="1"/>
                <c:pt idx="0">
                  <c:v>97.9%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dLbls>
            <c:spPr>
              <a:solidFill>
                <a:sysClr val="window" lastClr="FFFFFF"/>
              </a:solidFill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'最大定格(信頼性) (3)'!$AF$35</c:f>
              <c:numCache>
                <c:formatCode>General</c:formatCode>
                <c:ptCount val="1"/>
                <c:pt idx="0">
                  <c:v>120</c:v>
                </c:pt>
              </c:numCache>
            </c:numRef>
          </c:xVal>
          <c:yVal>
            <c:numRef>
              <c:f>'最大定格(信頼性) (3)'!$AG$35</c:f>
              <c:numCache>
                <c:formatCode>General</c:formatCode>
                <c:ptCount val="1"/>
                <c:pt idx="0">
                  <c:v>1200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267584"/>
        <c:axId val="127269504"/>
      </c:scatterChart>
      <c:valAx>
        <c:axId val="127267584"/>
        <c:scaling>
          <c:orientation val="minMax"/>
          <c:max val="130"/>
          <c:min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269504"/>
        <c:crosses val="autoZero"/>
        <c:crossBetween val="midCat"/>
      </c:valAx>
      <c:valAx>
        <c:axId val="127269504"/>
        <c:scaling>
          <c:orientation val="minMax"/>
          <c:max val="1500"/>
          <c:min val="8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267584"/>
        <c:crosses val="autoZero"/>
        <c:crossBetween val="midCat"/>
        <c:majorUnit val="1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(3)'!$M$32:$M$35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(3)'!$N$32:$N$35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199872"/>
        <c:axId val="127202048"/>
      </c:scatterChart>
      <c:valAx>
        <c:axId val="1271998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202048"/>
        <c:crosses val="autoZero"/>
        <c:crossBetween val="midCat"/>
      </c:valAx>
      <c:valAx>
        <c:axId val="12720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19987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(3)'!$T$32:$T$35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(3)'!$U$32:$U$35</c:f>
              <c:numCache>
                <c:formatCode>General</c:formatCode>
                <c:ptCount val="4"/>
                <c:pt idx="0">
                  <c:v>600</c:v>
                </c:pt>
                <c:pt idx="1">
                  <c:v>600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025920"/>
        <c:axId val="127027840"/>
      </c:scatterChart>
      <c:valAx>
        <c:axId val="127025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027840"/>
        <c:crosses val="autoZero"/>
        <c:crossBetween val="midCat"/>
      </c:valAx>
      <c:valAx>
        <c:axId val="1270278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02592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(3)'!$AA$32:$AA$35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(3)'!$AB$32:$AB$35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060608"/>
        <c:axId val="127062784"/>
      </c:scatterChart>
      <c:valAx>
        <c:axId val="127060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062784"/>
        <c:crosses val="autoZero"/>
        <c:crossBetween val="midCat"/>
      </c:valAx>
      <c:valAx>
        <c:axId val="1270627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06060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CLU7B2-0701C4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(3)'!$F$32:$F$35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(3)'!$G$32:$G$35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099648"/>
        <c:axId val="127101568"/>
      </c:scatterChart>
      <c:valAx>
        <c:axId val="127099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101568"/>
        <c:crosses val="autoZero"/>
        <c:crossBetween val="midCat"/>
      </c:valAx>
      <c:valAx>
        <c:axId val="1271015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09964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(3)'!$AA$7:$AA$10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81.666666666666657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(3)'!$AB$7:$AB$10</c:f>
              <c:numCache>
                <c:formatCode>General</c:formatCode>
                <c:ptCount val="4"/>
                <c:pt idx="0">
                  <c:v>1200</c:v>
                </c:pt>
                <c:pt idx="1">
                  <c:v>1200</c:v>
                </c:pt>
                <c:pt idx="2">
                  <c:v>880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(3)'!$X$104:$X$106</c:f>
              <c:numCache>
                <c:formatCode>0.0</c:formatCode>
                <c:ptCount val="3"/>
                <c:pt idx="0">
                  <c:v>99.22287411602349</c:v>
                </c:pt>
                <c:pt idx="1">
                  <c:v>109.94127235783611</c:v>
                </c:pt>
                <c:pt idx="2">
                  <c:v>125.44229292826823</c:v>
                </c:pt>
              </c:numCache>
            </c:numRef>
          </c:xVal>
          <c:yVal>
            <c:numRef>
              <c:f>'最大定格(信頼性) (3)'!$Y$104:$Y$106</c:f>
              <c:numCache>
                <c:formatCode>0.0</c:formatCode>
                <c:ptCount val="3"/>
                <c:pt idx="0">
                  <c:v>1200</c:v>
                </c:pt>
                <c:pt idx="1">
                  <c:v>920</c:v>
                </c:pt>
                <c:pt idx="2">
                  <c:v>480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80"/>
            <c:backward val="90"/>
            <c:dispRSqr val="0"/>
            <c:dispEq val="0"/>
          </c:trendline>
          <c:xVal>
            <c:numRef>
              <c:f>'最大定格(信頼性) (3)'!$AA$104:$AA$106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(3)'!$AB$104:$AB$106</c:f>
              <c:numCache>
                <c:formatCode>0.0</c:formatCode>
                <c:ptCount val="3"/>
                <c:pt idx="0">
                  <c:v>1234.8300416854238</c:v>
                </c:pt>
                <c:pt idx="1">
                  <c:v>1016.6908790589868</c:v>
                </c:pt>
                <c:pt idx="2">
                  <c:v>844.03470746253583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125376"/>
        <c:axId val="127541248"/>
      </c:scatterChart>
      <c:valAx>
        <c:axId val="127125376"/>
        <c:scaling>
          <c:orientation val="minMax"/>
          <c:max val="14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541248"/>
        <c:crosses val="autoZero"/>
        <c:crossBetween val="midCat"/>
      </c:valAx>
      <c:valAx>
        <c:axId val="127541248"/>
        <c:scaling>
          <c:orientation val="minMax"/>
          <c:max val="1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125376"/>
        <c:crosses val="autoZero"/>
        <c:crossBetween val="midCat"/>
        <c:majorUnit val="400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CLU7A2-1001C9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(3)'!$AX$8:$AX$11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(3)'!$AY$8:$AY$11</c:f>
              <c:numCache>
                <c:formatCode>General</c:formatCode>
                <c:ptCount val="4"/>
                <c:pt idx="0">
                  <c:v>300</c:v>
                </c:pt>
                <c:pt idx="1">
                  <c:v>300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(3)'!$AU$30:$AU$32</c:f>
              <c:numCache>
                <c:formatCode>0.0</c:formatCode>
                <c:ptCount val="3"/>
                <c:pt idx="0">
                  <c:v>105.21627235270203</c:v>
                </c:pt>
                <c:pt idx="1">
                  <c:v>114.33777487200427</c:v>
                </c:pt>
                <c:pt idx="2">
                  <c:v>127.55863580152585</c:v>
                </c:pt>
              </c:numCache>
            </c:numRef>
          </c:xVal>
          <c:yVal>
            <c:numRef>
              <c:f>'最大定格(信頼性) (3)'!$AV$30:$AV$32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70"/>
            <c:backward val="90"/>
            <c:dispRSqr val="0"/>
            <c:dispEq val="0"/>
          </c:trendline>
          <c:xVal>
            <c:numRef>
              <c:f>'最大定格(信頼性) (3)'!$AX$30:$AX$32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(3)'!$AY$30:$AY$32</c:f>
              <c:numCache>
                <c:formatCode>0.0</c:formatCode>
                <c:ptCount val="3"/>
                <c:pt idx="0">
                  <c:v>686.08950758245931</c:v>
                </c:pt>
                <c:pt idx="1">
                  <c:v>556.57157529077801</c:v>
                </c:pt>
                <c:pt idx="2">
                  <c:v>459.87949972696725</c:v>
                </c:pt>
              </c:numCache>
            </c:numRef>
          </c:yVal>
          <c:smooth val="0"/>
        </c:ser>
        <c:ser>
          <c:idx val="3"/>
          <c:order val="3"/>
          <c:tx>
            <c:v>Tj=140℃_ペースト径MAX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C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(3)'!$AU$38:$AU$40</c:f>
              <c:numCache>
                <c:formatCode>0.0</c:formatCode>
                <c:ptCount val="3"/>
                <c:pt idx="0">
                  <c:v>98.208398985538366</c:v>
                </c:pt>
                <c:pt idx="1">
                  <c:v>109.19847065397354</c:v>
                </c:pt>
                <c:pt idx="2">
                  <c:v>125.08521144779506</c:v>
                </c:pt>
              </c:numCache>
            </c:numRef>
          </c:xVal>
          <c:yVal>
            <c:numRef>
              <c:f>'最大定格(信頼性) (3)'!$AV$38:$AV$40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ser>
          <c:idx val="4"/>
          <c:order val="4"/>
          <c:tx>
            <c:v>Tj=140℃_ペースト径OUTLINE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F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(3)'!$AU$46:$AU$48</c:f>
              <c:numCache>
                <c:formatCode>0.0</c:formatCode>
                <c:ptCount val="3"/>
              </c:numCache>
            </c:numRef>
          </c:xVal>
          <c:yVal>
            <c:numRef>
              <c:f>'最大定格(信頼性) (3)'!$AV$46:$AV$48</c:f>
              <c:numCache>
                <c:formatCode>0.0</c:formatCode>
                <c:ptCount val="3"/>
                <c:pt idx="0">
                  <c:v>300</c:v>
                </c:pt>
                <c:pt idx="1">
                  <c:v>230</c:v>
                </c:pt>
                <c:pt idx="2">
                  <c:v>120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584512"/>
        <c:axId val="127336832"/>
      </c:scatterChart>
      <c:valAx>
        <c:axId val="127584512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336832"/>
        <c:crosses val="autoZero"/>
        <c:crossBetween val="midCat"/>
      </c:valAx>
      <c:valAx>
        <c:axId val="127336832"/>
        <c:scaling>
          <c:orientation val="minMax"/>
          <c:max val="6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58451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CLU7A2-0403C9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'最大定格(信頼性) (3)'!$BG$8:$BG$11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93.333333333333314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'最大定格(信頼性) (3)'!$BH$8:$BH$11</c:f>
              <c:numCache>
                <c:formatCode>General</c:formatCode>
                <c:ptCount val="4"/>
                <c:pt idx="0">
                  <c:v>900</c:v>
                </c:pt>
                <c:pt idx="1">
                  <c:v>900</c:v>
                </c:pt>
                <c:pt idx="2">
                  <c:v>690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Tj=140℃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0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(3)'!$BD$30:$BD$32</c:f>
              <c:numCache>
                <c:formatCode>0.0</c:formatCode>
                <c:ptCount val="3"/>
                <c:pt idx="0">
                  <c:v>105.76208963553007</c:v>
                </c:pt>
                <c:pt idx="1">
                  <c:v>114.73807790046703</c:v>
                </c:pt>
                <c:pt idx="2">
                  <c:v>127.75128729726615</c:v>
                </c:pt>
              </c:numCache>
            </c:numRef>
          </c:xVal>
          <c:yVal>
            <c:numRef>
              <c:f>'最大定格(信頼性) (3)'!$BE$30:$BE$32</c:f>
              <c:numCache>
                <c:formatCode>0.0</c:formatCode>
                <c:ptCount val="3"/>
                <c:pt idx="0">
                  <c:v>900</c:v>
                </c:pt>
                <c:pt idx="1">
                  <c:v>690</c:v>
                </c:pt>
                <c:pt idx="2">
                  <c:v>360</c:v>
                </c:pt>
              </c:numCache>
            </c:numRef>
          </c:yVal>
          <c:smooth val="0"/>
        </c:ser>
        <c:ser>
          <c:idx val="2"/>
          <c:order val="2"/>
          <c:tx>
            <c:v>樹脂温度=205℃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50"/>
                </a:solidFill>
              </a:ln>
            </c:spPr>
            <c:trendlineType val="linear"/>
            <c:forward val="70"/>
            <c:backward val="90"/>
            <c:dispRSqr val="0"/>
            <c:dispEq val="0"/>
          </c:trendline>
          <c:xVal>
            <c:numRef>
              <c:f>'最大定格(信頼性) (3)'!$BG$30:$BG$32</c:f>
              <c:numCache>
                <c:formatCode>0.0</c:formatCode>
                <c:ptCount val="3"/>
                <c:pt idx="0">
                  <c:v>85</c:v>
                </c:pt>
                <c:pt idx="1">
                  <c:v>105</c:v>
                </c:pt>
                <c:pt idx="2">
                  <c:v>120</c:v>
                </c:pt>
              </c:numCache>
            </c:numRef>
          </c:xVal>
          <c:yVal>
            <c:numRef>
              <c:f>'最大定格(信頼性) (3)'!$BH$30:$BH$32</c:f>
              <c:numCache>
                <c:formatCode>0.0</c:formatCode>
                <c:ptCount val="3"/>
                <c:pt idx="0">
                  <c:v>1735.9489706440918</c:v>
                </c:pt>
                <c:pt idx="1">
                  <c:v>1415.350919983395</c:v>
                </c:pt>
                <c:pt idx="2">
                  <c:v>1172.5900502646309</c:v>
                </c:pt>
              </c:numCache>
            </c:numRef>
          </c:yVal>
          <c:smooth val="0"/>
        </c:ser>
        <c:ser>
          <c:idx val="3"/>
          <c:order val="3"/>
          <c:tx>
            <c:v>Tj=140℃_ペースト径MAX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FFC00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(3)'!$BD$38:$BD$40</c:f>
              <c:numCache>
                <c:formatCode>0.0</c:formatCode>
                <c:ptCount val="3"/>
                <c:pt idx="0">
                  <c:v>100.197645381524</c:v>
                </c:pt>
                <c:pt idx="1">
                  <c:v>110.65554489542247</c:v>
                </c:pt>
                <c:pt idx="2">
                  <c:v>125.78533470379008</c:v>
                </c:pt>
              </c:numCache>
            </c:numRef>
          </c:xVal>
          <c:yVal>
            <c:numRef>
              <c:f>'最大定格(信頼性) (3)'!$BE$38:$BE$40</c:f>
              <c:numCache>
                <c:formatCode>0.0</c:formatCode>
                <c:ptCount val="3"/>
                <c:pt idx="0">
                  <c:v>900</c:v>
                </c:pt>
                <c:pt idx="1">
                  <c:v>690</c:v>
                </c:pt>
                <c:pt idx="2">
                  <c:v>360</c:v>
                </c:pt>
              </c:numCache>
            </c:numRef>
          </c:yVal>
          <c:smooth val="0"/>
        </c:ser>
        <c:ser>
          <c:idx val="4"/>
          <c:order val="4"/>
          <c:tx>
            <c:v>Tj=140℃_ペースト径OUTLINE</c:v>
          </c:tx>
          <c:spPr>
            <a:ln>
              <a:noFill/>
            </a:ln>
          </c:spPr>
          <c:marker>
            <c:symbol val="none"/>
          </c:marker>
          <c:trendline>
            <c:spPr>
              <a:ln w="25400">
                <a:solidFill>
                  <a:srgbClr val="00B0F0"/>
                </a:solidFill>
              </a:ln>
            </c:spPr>
            <c:trendlineType val="linear"/>
            <c:forward val="20"/>
            <c:backward val="100"/>
            <c:dispRSqr val="0"/>
            <c:dispEq val="0"/>
          </c:trendline>
          <c:xVal>
            <c:numRef>
              <c:f>'最大定格(信頼性) (3)'!$BD$46:$BD$48</c:f>
              <c:numCache>
                <c:formatCode>0.0</c:formatCode>
                <c:ptCount val="3"/>
                <c:pt idx="0">
                  <c:v>93.334672863930592</c:v>
                </c:pt>
                <c:pt idx="1">
                  <c:v>104.95258119559524</c:v>
                </c:pt>
                <c:pt idx="2">
                  <c:v>123.04661622808972</c:v>
                </c:pt>
              </c:numCache>
            </c:numRef>
          </c:xVal>
          <c:yVal>
            <c:numRef>
              <c:f>'最大定格(信頼性) (3)'!$BE$46:$BE$48</c:f>
              <c:numCache>
                <c:formatCode>0.0</c:formatCode>
                <c:ptCount val="3"/>
                <c:pt idx="0">
                  <c:v>900</c:v>
                </c:pt>
                <c:pt idx="1">
                  <c:v>690</c:v>
                </c:pt>
                <c:pt idx="2">
                  <c:v>360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392000"/>
        <c:axId val="127410560"/>
      </c:scatterChart>
      <c:valAx>
        <c:axId val="127392000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410560"/>
        <c:crosses val="autoZero"/>
        <c:crossBetween val="midCat"/>
      </c:valAx>
      <c:valAx>
        <c:axId val="127410560"/>
        <c:scaling>
          <c:orientation val="minMax"/>
          <c:max val="14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39200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CCT/Ra</a:t>
            </a:r>
            <a:r>
              <a:rPr lang="en-US" altLang="ja-JP" baseline="0"/>
              <a:t> </a:t>
            </a:r>
            <a:r>
              <a:rPr lang="ja-JP" altLang="en-US" baseline="0"/>
              <a:t>相対光束</a:t>
            </a:r>
            <a:endParaRPr lang="ja-JP" alt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CLU7A2</c:v>
          </c:tx>
          <c:marker>
            <c:symbol val="none"/>
          </c:marker>
          <c:cat>
            <c:strRef>
              <c:f>'初期全光束(Tj=85℃)'!$C$17:$C$22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'初期全光束(Tj=85℃)'!$J$17:$J$22</c:f>
              <c:numCache>
                <c:formatCode>0.000</c:formatCode>
                <c:ptCount val="6"/>
                <c:pt idx="0">
                  <c:v>1.2398727465535526</c:v>
                </c:pt>
                <c:pt idx="1">
                  <c:v>1.1929101651264959</c:v>
                </c:pt>
                <c:pt idx="2">
                  <c:v>1.1522799575821845</c:v>
                </c:pt>
                <c:pt idx="3">
                  <c:v>1.0850174216027875</c:v>
                </c:pt>
                <c:pt idx="4">
                  <c:v>1</c:v>
                </c:pt>
                <c:pt idx="5">
                  <c:v>0.94799272837448867</c:v>
                </c:pt>
              </c:numCache>
            </c:numRef>
          </c:val>
          <c:smooth val="0"/>
        </c:ser>
        <c:ser>
          <c:idx val="1"/>
          <c:order val="1"/>
          <c:tx>
            <c:v>CLU702</c:v>
          </c:tx>
          <c:marker>
            <c:symbol val="none"/>
          </c:marker>
          <c:cat>
            <c:strRef>
              <c:f>'初期全光束(Tj=85℃)'!$C$17:$C$22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'初期全光束(Tj=85℃)'!$U$5:$U$10</c:f>
              <c:numCache>
                <c:formatCode>0.000</c:formatCode>
                <c:ptCount val="6"/>
                <c:pt idx="0">
                  <c:v>1.2355929299775803</c:v>
                </c:pt>
                <c:pt idx="1">
                  <c:v>1.1861429944062507</c:v>
                </c:pt>
                <c:pt idx="2">
                  <c:v>1.1423166017414363</c:v>
                </c:pt>
                <c:pt idx="3">
                  <c:v>1.061233306270809</c:v>
                </c:pt>
                <c:pt idx="4">
                  <c:v>1</c:v>
                </c:pt>
                <c:pt idx="5">
                  <c:v>0.92864431649746382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strRef>
              <c:f>'初期全光束(Tj=85℃)'!$C$17:$C$22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'初期全光束(Tj=85℃)'!$U$17:$U$27</c:f>
              <c:numCache>
                <c:formatCode>0.000</c:formatCode>
                <c:ptCount val="11"/>
                <c:pt idx="0">
                  <c:v>1.2496419493251874</c:v>
                </c:pt>
                <c:pt idx="1">
                  <c:v>1.232511863972003</c:v>
                </c:pt>
                <c:pt idx="2">
                  <c:v>1.2185362118395036</c:v>
                </c:pt>
                <c:pt idx="3">
                  <c:v>1.1831137658720707</c:v>
                </c:pt>
                <c:pt idx="4">
                  <c:v>1.157201751653627</c:v>
                </c:pt>
                <c:pt idx="5">
                  <c:v>1.0991271239610865</c:v>
                </c:pt>
                <c:pt idx="6">
                  <c:v>1.0703519797716987</c:v>
                </c:pt>
                <c:pt idx="7">
                  <c:v>1.0552130327695453</c:v>
                </c:pt>
                <c:pt idx="8">
                  <c:v>1</c:v>
                </c:pt>
                <c:pt idx="9">
                  <c:v>0.93844659838393474</c:v>
                </c:pt>
                <c:pt idx="10">
                  <c:v>0.88828615055665261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159488"/>
        <c:axId val="126165760"/>
      </c:lineChart>
      <c:catAx>
        <c:axId val="126159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CCT/Ra　※</a:t>
                </a:r>
                <a:r>
                  <a:rPr lang="ja-JP" altLang="en-US"/>
                  <a:t>左：</a:t>
                </a:r>
                <a:r>
                  <a:rPr lang="en-US" altLang="en-US"/>
                  <a:t>Ra80、</a:t>
                </a:r>
                <a:r>
                  <a:rPr lang="ja-JP" altLang="en-US"/>
                  <a:t>右：</a:t>
                </a:r>
                <a:r>
                  <a:rPr lang="en-US" altLang="en-US"/>
                  <a:t>Ra90</a:t>
                </a:r>
              </a:p>
            </c:rich>
          </c:tx>
          <c:overlay val="0"/>
        </c:title>
        <c:majorTickMark val="out"/>
        <c:minorTickMark val="none"/>
        <c:tickLblPos val="nextTo"/>
        <c:crossAx val="126165760"/>
        <c:crosses val="autoZero"/>
        <c:auto val="1"/>
        <c:lblAlgn val="ctr"/>
        <c:lblOffset val="100"/>
        <c:noMultiLvlLbl val="0"/>
      </c:catAx>
      <c:valAx>
        <c:axId val="126165760"/>
        <c:scaling>
          <c:orientation val="minMax"/>
          <c:min val="0.8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相対値</a:t>
                </a:r>
                <a:r>
                  <a:rPr lang="en-US" altLang="ja-JP"/>
                  <a:t>(</a:t>
                </a:r>
                <a:r>
                  <a:rPr lang="en-US" altLang="en-US"/>
                  <a:t>vs 3000K,Ra90)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261594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CCT/Ra</a:t>
            </a:r>
            <a:r>
              <a:rPr lang="en-US" altLang="ja-JP" baseline="0"/>
              <a:t> </a:t>
            </a:r>
            <a:r>
              <a:rPr lang="ja-JP" altLang="en-US" baseline="0"/>
              <a:t>相対光束</a:t>
            </a:r>
            <a:endParaRPr lang="ja-JP" alt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CLU7A2</c:v>
          </c:tx>
          <c:marker>
            <c:symbol val="none"/>
          </c:marker>
          <c:cat>
            <c:strRef>
              <c:f>'初期全光束(Tj=85℃)_1015更新'!$C$17:$C$22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'初期全光束(Tj=85℃)_1015更新'!$J$17:$J$22</c:f>
              <c:numCache>
                <c:formatCode>0.000</c:formatCode>
                <c:ptCount val="6"/>
                <c:pt idx="0">
                  <c:v>1.2398727465535526</c:v>
                </c:pt>
                <c:pt idx="1">
                  <c:v>1.1929101651264959</c:v>
                </c:pt>
                <c:pt idx="2">
                  <c:v>1.1522799575821845</c:v>
                </c:pt>
                <c:pt idx="3">
                  <c:v>1.0850174216027875</c:v>
                </c:pt>
                <c:pt idx="4">
                  <c:v>1</c:v>
                </c:pt>
                <c:pt idx="5">
                  <c:v>0.94799272837448867</c:v>
                </c:pt>
              </c:numCache>
            </c:numRef>
          </c:val>
          <c:smooth val="0"/>
        </c:ser>
        <c:ser>
          <c:idx val="1"/>
          <c:order val="1"/>
          <c:tx>
            <c:v>CLU702</c:v>
          </c:tx>
          <c:marker>
            <c:symbol val="none"/>
          </c:marker>
          <c:cat>
            <c:strRef>
              <c:f>'初期全光束(Tj=85℃)_1015更新'!$C$17:$C$22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'初期全光束(Tj=85℃)_1015更新'!$U$5:$U$10</c:f>
              <c:numCache>
                <c:formatCode>0.000</c:formatCode>
                <c:ptCount val="6"/>
                <c:pt idx="0">
                  <c:v>1.2355929299775803</c:v>
                </c:pt>
                <c:pt idx="1">
                  <c:v>1.1861429944062507</c:v>
                </c:pt>
                <c:pt idx="2">
                  <c:v>1.1423166017414363</c:v>
                </c:pt>
                <c:pt idx="3">
                  <c:v>1.061233306270809</c:v>
                </c:pt>
                <c:pt idx="4">
                  <c:v>1</c:v>
                </c:pt>
                <c:pt idx="5">
                  <c:v>0.92864431649746382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strRef>
              <c:f>'初期全光束(Tj=85℃)_1015更新'!$C$17:$C$22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'初期全光束(Tj=85℃)_1015更新'!$U$17:$U$27</c:f>
              <c:numCache>
                <c:formatCode>0.000</c:formatCode>
                <c:ptCount val="11"/>
                <c:pt idx="0">
                  <c:v>1.2496419493251874</c:v>
                </c:pt>
                <c:pt idx="1">
                  <c:v>1.232511863972003</c:v>
                </c:pt>
                <c:pt idx="2">
                  <c:v>1.2185362118395036</c:v>
                </c:pt>
                <c:pt idx="3">
                  <c:v>1.1831137658720707</c:v>
                </c:pt>
                <c:pt idx="4">
                  <c:v>1.157201751653627</c:v>
                </c:pt>
                <c:pt idx="5">
                  <c:v>1.0991271239610865</c:v>
                </c:pt>
                <c:pt idx="6">
                  <c:v>1.0703519797716987</c:v>
                </c:pt>
                <c:pt idx="7">
                  <c:v>1.0552130327695453</c:v>
                </c:pt>
                <c:pt idx="8">
                  <c:v>1</c:v>
                </c:pt>
                <c:pt idx="9">
                  <c:v>0.93844659838393474</c:v>
                </c:pt>
                <c:pt idx="10">
                  <c:v>0.88828615055665261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13504"/>
        <c:axId val="126219776"/>
      </c:lineChart>
      <c:catAx>
        <c:axId val="126213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CCT/Ra　※</a:t>
                </a:r>
                <a:r>
                  <a:rPr lang="ja-JP" altLang="en-US"/>
                  <a:t>左：</a:t>
                </a:r>
                <a:r>
                  <a:rPr lang="en-US" altLang="en-US"/>
                  <a:t>Ra80、</a:t>
                </a:r>
                <a:r>
                  <a:rPr lang="ja-JP" altLang="en-US"/>
                  <a:t>右：</a:t>
                </a:r>
                <a:r>
                  <a:rPr lang="en-US" altLang="en-US"/>
                  <a:t>Ra90</a:t>
                </a:r>
              </a:p>
            </c:rich>
          </c:tx>
          <c:overlay val="0"/>
        </c:title>
        <c:majorTickMark val="out"/>
        <c:minorTickMark val="none"/>
        <c:tickLblPos val="nextTo"/>
        <c:crossAx val="126219776"/>
        <c:crosses val="autoZero"/>
        <c:auto val="1"/>
        <c:lblAlgn val="ctr"/>
        <c:lblOffset val="100"/>
        <c:noMultiLvlLbl val="0"/>
      </c:catAx>
      <c:valAx>
        <c:axId val="126219776"/>
        <c:scaling>
          <c:orientation val="minMax"/>
          <c:min val="0.8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相対値</a:t>
                </a:r>
                <a:r>
                  <a:rPr lang="en-US" altLang="ja-JP"/>
                  <a:t>(</a:t>
                </a:r>
                <a:r>
                  <a:rPr lang="en-US" altLang="en-US"/>
                  <a:t>vs 3000K,Ra90)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26213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CCT/Ra</a:t>
            </a:r>
            <a:r>
              <a:rPr lang="en-US" altLang="ja-JP" baseline="0"/>
              <a:t> </a:t>
            </a:r>
            <a:r>
              <a:rPr lang="ja-JP" altLang="en-US" baseline="0"/>
              <a:t>相対光束</a:t>
            </a:r>
            <a:endParaRPr lang="ja-JP" alt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CLU7A2</c:v>
          </c:tx>
          <c:marker>
            <c:symbol val="none"/>
          </c:marker>
          <c:cat>
            <c:strRef>
              <c:f>'初期全光束(Tj=85℃)_1105更新'!$C$17:$C$22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'初期全光束(Tj=85℃)_1105更新'!$J$17:$J$22</c:f>
              <c:numCache>
                <c:formatCode>0.000</c:formatCode>
                <c:ptCount val="6"/>
                <c:pt idx="0">
                  <c:v>1.2398727465535526</c:v>
                </c:pt>
                <c:pt idx="1">
                  <c:v>1.1929101651264959</c:v>
                </c:pt>
                <c:pt idx="2">
                  <c:v>1.1522799575821845</c:v>
                </c:pt>
                <c:pt idx="3">
                  <c:v>1.0850174216027875</c:v>
                </c:pt>
                <c:pt idx="4">
                  <c:v>1</c:v>
                </c:pt>
                <c:pt idx="5">
                  <c:v>0.94799272837448867</c:v>
                </c:pt>
              </c:numCache>
            </c:numRef>
          </c:val>
          <c:smooth val="0"/>
        </c:ser>
        <c:ser>
          <c:idx val="1"/>
          <c:order val="1"/>
          <c:tx>
            <c:v>CLU702</c:v>
          </c:tx>
          <c:marker>
            <c:symbol val="none"/>
          </c:marker>
          <c:cat>
            <c:strRef>
              <c:f>'初期全光束(Tj=85℃)_1105更新'!$C$17:$C$22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'初期全光束(Tj=85℃)_1105更新'!$U$5:$U$10</c:f>
              <c:numCache>
                <c:formatCode>0.000</c:formatCode>
                <c:ptCount val="6"/>
                <c:pt idx="0">
                  <c:v>1.2355929299775803</c:v>
                </c:pt>
                <c:pt idx="1">
                  <c:v>1.1861429944062507</c:v>
                </c:pt>
                <c:pt idx="2">
                  <c:v>1.1423166017414363</c:v>
                </c:pt>
                <c:pt idx="3">
                  <c:v>1.061233306270809</c:v>
                </c:pt>
                <c:pt idx="4">
                  <c:v>1</c:v>
                </c:pt>
                <c:pt idx="5">
                  <c:v>0.92864431649746382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strRef>
              <c:f>'初期全光束(Tj=85℃)_1105更新'!$C$17:$C$22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'初期全光束(Tj=85℃)_1105更新'!$U$17:$U$27</c:f>
              <c:numCache>
                <c:formatCode>0.000</c:formatCode>
                <c:ptCount val="11"/>
                <c:pt idx="0">
                  <c:v>1.2496419493251874</c:v>
                </c:pt>
                <c:pt idx="1">
                  <c:v>1.232511863972003</c:v>
                </c:pt>
                <c:pt idx="2">
                  <c:v>1.2185362118395036</c:v>
                </c:pt>
                <c:pt idx="3">
                  <c:v>1.1831137658720707</c:v>
                </c:pt>
                <c:pt idx="4">
                  <c:v>1.157201751653627</c:v>
                </c:pt>
                <c:pt idx="5">
                  <c:v>1.0991271239610865</c:v>
                </c:pt>
                <c:pt idx="6">
                  <c:v>1.0703519797716987</c:v>
                </c:pt>
                <c:pt idx="7">
                  <c:v>1.0552130327695453</c:v>
                </c:pt>
                <c:pt idx="8">
                  <c:v>1</c:v>
                </c:pt>
                <c:pt idx="9">
                  <c:v>0.93844659838393474</c:v>
                </c:pt>
                <c:pt idx="10">
                  <c:v>0.88828615055665261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500288"/>
        <c:axId val="127502208"/>
      </c:lineChart>
      <c:catAx>
        <c:axId val="127500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CCT/Ra　※</a:t>
                </a:r>
                <a:r>
                  <a:rPr lang="ja-JP" altLang="en-US"/>
                  <a:t>左：</a:t>
                </a:r>
                <a:r>
                  <a:rPr lang="en-US" altLang="en-US"/>
                  <a:t>Ra80、</a:t>
                </a:r>
                <a:r>
                  <a:rPr lang="ja-JP" altLang="en-US"/>
                  <a:t>右：</a:t>
                </a:r>
                <a:r>
                  <a:rPr lang="en-US" altLang="en-US"/>
                  <a:t>Ra90</a:t>
                </a:r>
              </a:p>
            </c:rich>
          </c:tx>
          <c:overlay val="0"/>
        </c:title>
        <c:majorTickMark val="out"/>
        <c:minorTickMark val="none"/>
        <c:tickLblPos val="nextTo"/>
        <c:crossAx val="127502208"/>
        <c:crosses val="autoZero"/>
        <c:auto val="1"/>
        <c:lblAlgn val="ctr"/>
        <c:lblOffset val="100"/>
        <c:noMultiLvlLbl val="0"/>
      </c:catAx>
      <c:valAx>
        <c:axId val="127502208"/>
        <c:scaling>
          <c:orientation val="minMax"/>
          <c:min val="0.8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相対値</a:t>
                </a:r>
                <a:r>
                  <a:rPr lang="en-US" altLang="ja-JP"/>
                  <a:t>(</a:t>
                </a:r>
                <a:r>
                  <a:rPr lang="en-US" altLang="en-US"/>
                  <a:t>vs 3000K,Ra90)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275002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CCT/Ra</a:t>
            </a:r>
            <a:r>
              <a:rPr lang="en-US" altLang="ja-JP" baseline="0"/>
              <a:t> </a:t>
            </a:r>
            <a:r>
              <a:rPr lang="ja-JP" altLang="en-US" baseline="0"/>
              <a:t>相対光束</a:t>
            </a:r>
            <a:endParaRPr lang="ja-JP" alt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CLU7A2</c:v>
          </c:tx>
          <c:marker>
            <c:symbol val="none"/>
          </c:marker>
          <c:cat>
            <c:strRef>
              <c:f>'初期全光束(Tj=85℃)_0306更新'!$C$22:$C$27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'初期全光束(Tj=85℃)_0306更新'!$J$22:$J$27</c:f>
              <c:numCache>
                <c:formatCode>0.000</c:formatCode>
                <c:ptCount val="6"/>
                <c:pt idx="0">
                  <c:v>1.2398727465535526</c:v>
                </c:pt>
                <c:pt idx="1">
                  <c:v>1.1929101651264959</c:v>
                </c:pt>
                <c:pt idx="2">
                  <c:v>1.1522799575821845</c:v>
                </c:pt>
                <c:pt idx="3">
                  <c:v>1.0850174216027875</c:v>
                </c:pt>
                <c:pt idx="4">
                  <c:v>1</c:v>
                </c:pt>
                <c:pt idx="5">
                  <c:v>0.94799272837448867</c:v>
                </c:pt>
              </c:numCache>
            </c:numRef>
          </c:val>
          <c:smooth val="0"/>
        </c:ser>
        <c:ser>
          <c:idx val="1"/>
          <c:order val="1"/>
          <c:tx>
            <c:v>CLU702</c:v>
          </c:tx>
          <c:marker>
            <c:symbol val="none"/>
          </c:marker>
          <c:cat>
            <c:strRef>
              <c:f>'初期全光束(Tj=85℃)_0306更新'!$C$22:$C$27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'初期全光束(Tj=85℃)_0306更新'!$U$5:$U$12</c:f>
              <c:numCache>
                <c:formatCode>0.000</c:formatCode>
                <c:ptCount val="8"/>
                <c:pt idx="0">
                  <c:v>1.2355929299775803</c:v>
                </c:pt>
                <c:pt idx="1">
                  <c:v>1.2120100517283758</c:v>
                </c:pt>
                <c:pt idx="2">
                  <c:v>1.1861429944062507</c:v>
                </c:pt>
                <c:pt idx="3">
                  <c:v>1.1423166017414363</c:v>
                </c:pt>
                <c:pt idx="4">
                  <c:v>1.061233306270809</c:v>
                </c:pt>
                <c:pt idx="5">
                  <c:v>1.0581780351847756</c:v>
                </c:pt>
                <c:pt idx="6">
                  <c:v>1</c:v>
                </c:pt>
                <c:pt idx="7">
                  <c:v>0.92864431649746382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strRef>
              <c:f>'初期全光束(Tj=85℃)_0306更新'!$C$22:$C$27</c:f>
              <c:strCache>
                <c:ptCount val="6"/>
                <c:pt idx="0">
                  <c:v>4000K</c:v>
                </c:pt>
                <c:pt idx="1">
                  <c:v>3000K</c:v>
                </c:pt>
                <c:pt idx="2">
                  <c:v>2700K</c:v>
                </c:pt>
                <c:pt idx="3">
                  <c:v>4000K</c:v>
                </c:pt>
                <c:pt idx="4">
                  <c:v>3000K</c:v>
                </c:pt>
                <c:pt idx="5">
                  <c:v>2700K</c:v>
                </c:pt>
              </c:strCache>
            </c:strRef>
          </c:cat>
          <c:val>
            <c:numRef>
              <c:f>'初期全光束(Tj=85℃)_0306更新'!$U$22:$U$32</c:f>
              <c:numCache>
                <c:formatCode>0.000</c:formatCode>
                <c:ptCount val="11"/>
                <c:pt idx="0">
                  <c:v>1.2496419493251874</c:v>
                </c:pt>
                <c:pt idx="1">
                  <c:v>1.232511863972003</c:v>
                </c:pt>
                <c:pt idx="2">
                  <c:v>1.2185362118395036</c:v>
                </c:pt>
                <c:pt idx="3">
                  <c:v>1.1831137658720707</c:v>
                </c:pt>
                <c:pt idx="4">
                  <c:v>1.157201751653627</c:v>
                </c:pt>
                <c:pt idx="5">
                  <c:v>1.0991271239610865</c:v>
                </c:pt>
                <c:pt idx="6">
                  <c:v>1.0703519797716987</c:v>
                </c:pt>
                <c:pt idx="7">
                  <c:v>1.0552130327695453</c:v>
                </c:pt>
                <c:pt idx="8">
                  <c:v>1</c:v>
                </c:pt>
                <c:pt idx="9">
                  <c:v>0.93844659838393474</c:v>
                </c:pt>
                <c:pt idx="10">
                  <c:v>0.88828615055665261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52320"/>
        <c:axId val="128154240"/>
      </c:lineChart>
      <c:catAx>
        <c:axId val="128152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CCT/Ra　※</a:t>
                </a:r>
                <a:r>
                  <a:rPr lang="ja-JP" altLang="en-US"/>
                  <a:t>左：</a:t>
                </a:r>
                <a:r>
                  <a:rPr lang="en-US" altLang="en-US"/>
                  <a:t>Ra80、</a:t>
                </a:r>
                <a:r>
                  <a:rPr lang="ja-JP" altLang="en-US"/>
                  <a:t>右：</a:t>
                </a:r>
                <a:r>
                  <a:rPr lang="en-US" altLang="en-US"/>
                  <a:t>Ra90</a:t>
                </a:r>
              </a:p>
            </c:rich>
          </c:tx>
          <c:overlay val="0"/>
        </c:title>
        <c:majorTickMark val="out"/>
        <c:minorTickMark val="none"/>
        <c:tickLblPos val="nextTo"/>
        <c:crossAx val="128154240"/>
        <c:crosses val="autoZero"/>
        <c:auto val="1"/>
        <c:lblAlgn val="ctr"/>
        <c:lblOffset val="100"/>
        <c:noMultiLvlLbl val="0"/>
      </c:catAx>
      <c:valAx>
        <c:axId val="128154240"/>
        <c:scaling>
          <c:orientation val="minMax"/>
          <c:min val="0.8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相対値</a:t>
                </a:r>
                <a:r>
                  <a:rPr lang="en-US" altLang="ja-JP"/>
                  <a:t>(</a:t>
                </a:r>
                <a:r>
                  <a:rPr lang="en-US" altLang="en-US"/>
                  <a:t>vs 3000K,Ra90)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281523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19" dropStyle="combo" dx="16" fmlaLink="$C$6" fmlaRange="Calculation!$H$3:$H$14" val="0"/>
</file>

<file path=xl/ctrlProps/ctrlProp2.xml><?xml version="1.0" encoding="utf-8"?>
<formControlPr xmlns="http://schemas.microsoft.com/office/spreadsheetml/2009/9/main" objectType="Drop" dropLines="2" dropStyle="combo" dx="16" fmlaLink="$E$6" fmlaRange="Calculation!$B$24:$B$25" sel="2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9.xml"/><Relationship Id="rId13" Type="http://schemas.openxmlformats.org/officeDocument/2006/relationships/chart" Target="../charts/chart34.xml"/><Relationship Id="rId18" Type="http://schemas.openxmlformats.org/officeDocument/2006/relationships/chart" Target="../charts/chart39.xml"/><Relationship Id="rId3" Type="http://schemas.openxmlformats.org/officeDocument/2006/relationships/chart" Target="../charts/chart24.xml"/><Relationship Id="rId7" Type="http://schemas.openxmlformats.org/officeDocument/2006/relationships/chart" Target="../charts/chart28.xml"/><Relationship Id="rId12" Type="http://schemas.openxmlformats.org/officeDocument/2006/relationships/chart" Target="../charts/chart33.xml"/><Relationship Id="rId17" Type="http://schemas.openxmlformats.org/officeDocument/2006/relationships/chart" Target="../charts/chart38.xml"/><Relationship Id="rId2" Type="http://schemas.openxmlformats.org/officeDocument/2006/relationships/chart" Target="../charts/chart23.xml"/><Relationship Id="rId16" Type="http://schemas.openxmlformats.org/officeDocument/2006/relationships/chart" Target="../charts/chart37.xml"/><Relationship Id="rId1" Type="http://schemas.openxmlformats.org/officeDocument/2006/relationships/chart" Target="../charts/chart22.xml"/><Relationship Id="rId6" Type="http://schemas.openxmlformats.org/officeDocument/2006/relationships/chart" Target="../charts/chart27.xml"/><Relationship Id="rId11" Type="http://schemas.openxmlformats.org/officeDocument/2006/relationships/chart" Target="../charts/chart32.xml"/><Relationship Id="rId5" Type="http://schemas.openxmlformats.org/officeDocument/2006/relationships/chart" Target="../charts/chart26.xml"/><Relationship Id="rId15" Type="http://schemas.openxmlformats.org/officeDocument/2006/relationships/chart" Target="../charts/chart36.xml"/><Relationship Id="rId10" Type="http://schemas.openxmlformats.org/officeDocument/2006/relationships/chart" Target="../charts/chart31.xml"/><Relationship Id="rId4" Type="http://schemas.openxmlformats.org/officeDocument/2006/relationships/chart" Target="../charts/chart25.xml"/><Relationship Id="rId9" Type="http://schemas.openxmlformats.org/officeDocument/2006/relationships/chart" Target="../charts/chart30.xml"/><Relationship Id="rId14" Type="http://schemas.openxmlformats.org/officeDocument/2006/relationships/chart" Target="../charts/chart35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.xml"/><Relationship Id="rId13" Type="http://schemas.openxmlformats.org/officeDocument/2006/relationships/chart" Target="../charts/chart52.xml"/><Relationship Id="rId18" Type="http://schemas.openxmlformats.org/officeDocument/2006/relationships/chart" Target="../charts/chart57.xml"/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12" Type="http://schemas.openxmlformats.org/officeDocument/2006/relationships/chart" Target="../charts/chart51.xml"/><Relationship Id="rId17" Type="http://schemas.openxmlformats.org/officeDocument/2006/relationships/chart" Target="../charts/chart56.xml"/><Relationship Id="rId2" Type="http://schemas.openxmlformats.org/officeDocument/2006/relationships/chart" Target="../charts/chart41.xml"/><Relationship Id="rId16" Type="http://schemas.openxmlformats.org/officeDocument/2006/relationships/chart" Target="../charts/chart55.xml"/><Relationship Id="rId1" Type="http://schemas.openxmlformats.org/officeDocument/2006/relationships/chart" Target="../charts/chart40.xml"/><Relationship Id="rId6" Type="http://schemas.openxmlformats.org/officeDocument/2006/relationships/chart" Target="../charts/chart45.xml"/><Relationship Id="rId11" Type="http://schemas.openxmlformats.org/officeDocument/2006/relationships/chart" Target="../charts/chart50.xml"/><Relationship Id="rId5" Type="http://schemas.openxmlformats.org/officeDocument/2006/relationships/chart" Target="../charts/chart44.xml"/><Relationship Id="rId15" Type="http://schemas.openxmlformats.org/officeDocument/2006/relationships/chart" Target="../charts/chart54.xml"/><Relationship Id="rId10" Type="http://schemas.openxmlformats.org/officeDocument/2006/relationships/chart" Target="../charts/chart49.xml"/><Relationship Id="rId4" Type="http://schemas.openxmlformats.org/officeDocument/2006/relationships/chart" Target="../charts/chart43.xml"/><Relationship Id="rId9" Type="http://schemas.openxmlformats.org/officeDocument/2006/relationships/chart" Target="../charts/chart48.xml"/><Relationship Id="rId14" Type="http://schemas.openxmlformats.org/officeDocument/2006/relationships/chart" Target="../charts/chart53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5.xml"/><Relationship Id="rId13" Type="http://schemas.openxmlformats.org/officeDocument/2006/relationships/chart" Target="../charts/chart70.xml"/><Relationship Id="rId18" Type="http://schemas.openxmlformats.org/officeDocument/2006/relationships/chart" Target="../charts/chart75.xml"/><Relationship Id="rId3" Type="http://schemas.openxmlformats.org/officeDocument/2006/relationships/chart" Target="../charts/chart60.xml"/><Relationship Id="rId21" Type="http://schemas.openxmlformats.org/officeDocument/2006/relationships/chart" Target="../charts/chart78.xml"/><Relationship Id="rId7" Type="http://schemas.openxmlformats.org/officeDocument/2006/relationships/chart" Target="../charts/chart64.xml"/><Relationship Id="rId12" Type="http://schemas.openxmlformats.org/officeDocument/2006/relationships/chart" Target="../charts/chart69.xml"/><Relationship Id="rId17" Type="http://schemas.openxmlformats.org/officeDocument/2006/relationships/chart" Target="../charts/chart74.xml"/><Relationship Id="rId2" Type="http://schemas.openxmlformats.org/officeDocument/2006/relationships/chart" Target="../charts/chart59.xml"/><Relationship Id="rId16" Type="http://schemas.openxmlformats.org/officeDocument/2006/relationships/chart" Target="../charts/chart73.xml"/><Relationship Id="rId20" Type="http://schemas.openxmlformats.org/officeDocument/2006/relationships/chart" Target="../charts/chart77.xml"/><Relationship Id="rId1" Type="http://schemas.openxmlformats.org/officeDocument/2006/relationships/chart" Target="../charts/chart58.xml"/><Relationship Id="rId6" Type="http://schemas.openxmlformats.org/officeDocument/2006/relationships/chart" Target="../charts/chart63.xml"/><Relationship Id="rId11" Type="http://schemas.openxmlformats.org/officeDocument/2006/relationships/chart" Target="../charts/chart68.xml"/><Relationship Id="rId5" Type="http://schemas.openxmlformats.org/officeDocument/2006/relationships/chart" Target="../charts/chart62.xml"/><Relationship Id="rId15" Type="http://schemas.openxmlformats.org/officeDocument/2006/relationships/chart" Target="../charts/chart72.xml"/><Relationship Id="rId10" Type="http://schemas.openxmlformats.org/officeDocument/2006/relationships/chart" Target="../charts/chart67.xml"/><Relationship Id="rId19" Type="http://schemas.openxmlformats.org/officeDocument/2006/relationships/chart" Target="../charts/chart76.xml"/><Relationship Id="rId4" Type="http://schemas.openxmlformats.org/officeDocument/2006/relationships/chart" Target="../charts/chart61.xml"/><Relationship Id="rId9" Type="http://schemas.openxmlformats.org/officeDocument/2006/relationships/chart" Target="../charts/chart66.xml"/><Relationship Id="rId14" Type="http://schemas.openxmlformats.org/officeDocument/2006/relationships/chart" Target="../charts/chart71.xml"/><Relationship Id="rId22" Type="http://schemas.openxmlformats.org/officeDocument/2006/relationships/chart" Target="../charts/chart79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7.xml"/><Relationship Id="rId13" Type="http://schemas.openxmlformats.org/officeDocument/2006/relationships/chart" Target="../charts/chart92.xml"/><Relationship Id="rId18" Type="http://schemas.openxmlformats.org/officeDocument/2006/relationships/chart" Target="../charts/chart97.xml"/><Relationship Id="rId3" Type="http://schemas.openxmlformats.org/officeDocument/2006/relationships/chart" Target="../charts/chart82.xml"/><Relationship Id="rId7" Type="http://schemas.openxmlformats.org/officeDocument/2006/relationships/chart" Target="../charts/chart86.xml"/><Relationship Id="rId12" Type="http://schemas.openxmlformats.org/officeDocument/2006/relationships/chart" Target="../charts/chart91.xml"/><Relationship Id="rId17" Type="http://schemas.openxmlformats.org/officeDocument/2006/relationships/chart" Target="../charts/chart96.xml"/><Relationship Id="rId2" Type="http://schemas.openxmlformats.org/officeDocument/2006/relationships/chart" Target="../charts/chart81.xml"/><Relationship Id="rId16" Type="http://schemas.openxmlformats.org/officeDocument/2006/relationships/chart" Target="../charts/chart95.xml"/><Relationship Id="rId20" Type="http://schemas.openxmlformats.org/officeDocument/2006/relationships/chart" Target="../charts/chart99.xml"/><Relationship Id="rId1" Type="http://schemas.openxmlformats.org/officeDocument/2006/relationships/chart" Target="../charts/chart80.xml"/><Relationship Id="rId6" Type="http://schemas.openxmlformats.org/officeDocument/2006/relationships/chart" Target="../charts/chart85.xml"/><Relationship Id="rId11" Type="http://schemas.openxmlformats.org/officeDocument/2006/relationships/chart" Target="../charts/chart90.xml"/><Relationship Id="rId5" Type="http://schemas.openxmlformats.org/officeDocument/2006/relationships/chart" Target="../charts/chart84.xml"/><Relationship Id="rId15" Type="http://schemas.openxmlformats.org/officeDocument/2006/relationships/chart" Target="../charts/chart94.xml"/><Relationship Id="rId10" Type="http://schemas.openxmlformats.org/officeDocument/2006/relationships/chart" Target="../charts/chart89.xml"/><Relationship Id="rId19" Type="http://schemas.openxmlformats.org/officeDocument/2006/relationships/chart" Target="../charts/chart98.xml"/><Relationship Id="rId4" Type="http://schemas.openxmlformats.org/officeDocument/2006/relationships/chart" Target="../charts/chart83.xml"/><Relationship Id="rId9" Type="http://schemas.openxmlformats.org/officeDocument/2006/relationships/chart" Target="../charts/chart88.xml"/><Relationship Id="rId14" Type="http://schemas.openxmlformats.org/officeDocument/2006/relationships/chart" Target="../charts/chart9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13</xdr:row>
      <xdr:rowOff>0</xdr:rowOff>
    </xdr:from>
    <xdr:to>
      <xdr:col>24</xdr:col>
      <xdr:colOff>676275</xdr:colOff>
      <xdr:row>28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676275</xdr:colOff>
      <xdr:row>27</xdr:row>
      <xdr:rowOff>152400</xdr:rowOff>
    </xdr:from>
    <xdr:to>
      <xdr:col>24</xdr:col>
      <xdr:colOff>657225</xdr:colOff>
      <xdr:row>42</xdr:row>
      <xdr:rowOff>133350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190500</xdr:colOff>
      <xdr:row>43</xdr:row>
      <xdr:rowOff>19050</xdr:rowOff>
    </xdr:from>
    <xdr:to>
      <xdr:col>20</xdr:col>
      <xdr:colOff>152400</xdr:colOff>
      <xdr:row>56</xdr:row>
      <xdr:rowOff>38100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38100</xdr:colOff>
      <xdr:row>58</xdr:row>
      <xdr:rowOff>19050</xdr:rowOff>
    </xdr:from>
    <xdr:to>
      <xdr:col>15</xdr:col>
      <xdr:colOff>676275</xdr:colOff>
      <xdr:row>83</xdr:row>
      <xdr:rowOff>9525</xdr:rowOff>
    </xdr:to>
    <xdr:graphicFrame macro="">
      <xdr:nvGraphicFramePr>
        <xdr:cNvPr id="5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58</xdr:row>
      <xdr:rowOff>38100</xdr:rowOff>
    </xdr:from>
    <xdr:to>
      <xdr:col>8</xdr:col>
      <xdr:colOff>0</xdr:colOff>
      <xdr:row>83</xdr:row>
      <xdr:rowOff>0</xdr:rowOff>
    </xdr:to>
    <xdr:graphicFrame macro="">
      <xdr:nvGraphicFramePr>
        <xdr:cNvPr id="6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9525</xdr:colOff>
      <xdr:row>59</xdr:row>
      <xdr:rowOff>0</xdr:rowOff>
    </xdr:from>
    <xdr:to>
      <xdr:col>26</xdr:col>
      <xdr:colOff>9525</xdr:colOff>
      <xdr:row>59</xdr:row>
      <xdr:rowOff>0</xdr:rowOff>
    </xdr:to>
    <xdr:graphicFrame macro="">
      <xdr:nvGraphicFramePr>
        <xdr:cNvPr id="7" name="グラフ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20</xdr:col>
      <xdr:colOff>9525</xdr:colOff>
      <xdr:row>59</xdr:row>
      <xdr:rowOff>0</xdr:rowOff>
    </xdr:from>
    <xdr:to>
      <xdr:col>26</xdr:col>
      <xdr:colOff>0</xdr:colOff>
      <xdr:row>59</xdr:row>
      <xdr:rowOff>0</xdr:rowOff>
    </xdr:to>
    <xdr:graphicFrame macro="">
      <xdr:nvGraphicFramePr>
        <xdr:cNvPr id="8" name="グラフ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0</xdr:col>
      <xdr:colOff>57150</xdr:colOff>
      <xdr:row>2</xdr:row>
      <xdr:rowOff>76200</xdr:rowOff>
    </xdr:from>
    <xdr:ext cx="1260238" cy="539122"/>
    <xdr:sp macro="" textlink="">
      <xdr:nvSpPr>
        <xdr:cNvPr id="9" name="Text Box 22"/>
        <xdr:cNvSpPr txBox="1">
          <a:spLocks noChangeArrowheads="1"/>
        </xdr:cNvSpPr>
      </xdr:nvSpPr>
      <xdr:spPr bwMode="auto">
        <a:xfrm>
          <a:off x="57150" y="419100"/>
          <a:ext cx="1260238" cy="5391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・測定ポイント数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・定格電流値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は各機種ごとに設定</a:t>
          </a:r>
        </a:p>
      </xdr:txBody>
    </xdr:sp>
    <xdr:clientData/>
  </xdr:oneCellAnchor>
  <xdr:twoCellAnchor>
    <xdr:from>
      <xdr:col>0</xdr:col>
      <xdr:colOff>19050</xdr:colOff>
      <xdr:row>84</xdr:row>
      <xdr:rowOff>9525</xdr:rowOff>
    </xdr:from>
    <xdr:to>
      <xdr:col>8</xdr:col>
      <xdr:colOff>9525</xdr:colOff>
      <xdr:row>108</xdr:row>
      <xdr:rowOff>142875</xdr:rowOff>
    </xdr:to>
    <xdr:graphicFrame macro="">
      <xdr:nvGraphicFramePr>
        <xdr:cNvPr id="10" name="グラフ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657225</xdr:colOff>
      <xdr:row>13</xdr:row>
      <xdr:rowOff>0</xdr:rowOff>
    </xdr:from>
    <xdr:to>
      <xdr:col>18</xdr:col>
      <xdr:colOff>571500</xdr:colOff>
      <xdr:row>28</xdr:row>
      <xdr:rowOff>0</xdr:rowOff>
    </xdr:to>
    <xdr:graphicFrame macro="">
      <xdr:nvGraphicFramePr>
        <xdr:cNvPr id="11" name="グラフ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657225</xdr:colOff>
      <xdr:row>27</xdr:row>
      <xdr:rowOff>152400</xdr:rowOff>
    </xdr:from>
    <xdr:to>
      <xdr:col>18</xdr:col>
      <xdr:colOff>561975</xdr:colOff>
      <xdr:row>42</xdr:row>
      <xdr:rowOff>133350</xdr:rowOff>
    </xdr:to>
    <xdr:graphicFrame macro="">
      <xdr:nvGraphicFramePr>
        <xdr:cNvPr id="12" name="グラフ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38100</xdr:colOff>
      <xdr:row>37</xdr:row>
      <xdr:rowOff>142875</xdr:rowOff>
    </xdr:from>
    <xdr:to>
      <xdr:col>20</xdr:col>
      <xdr:colOff>0</xdr:colOff>
      <xdr:row>50</xdr:row>
      <xdr:rowOff>152400</xdr:rowOff>
    </xdr:to>
    <xdr:graphicFrame macro="">
      <xdr:nvGraphicFramePr>
        <xdr:cNvPr id="2" name="グラフ 10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55</xdr:row>
      <xdr:rowOff>9525</xdr:rowOff>
    </xdr:from>
    <xdr:to>
      <xdr:col>7</xdr:col>
      <xdr:colOff>676275</xdr:colOff>
      <xdr:row>79</xdr:row>
      <xdr:rowOff>152400</xdr:rowOff>
    </xdr:to>
    <xdr:graphicFrame macro="">
      <xdr:nvGraphicFramePr>
        <xdr:cNvPr id="3" name="グラフ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9525</xdr:colOff>
      <xdr:row>54</xdr:row>
      <xdr:rowOff>152400</xdr:rowOff>
    </xdr:from>
    <xdr:to>
      <xdr:col>16</xdr:col>
      <xdr:colOff>38100</xdr:colOff>
      <xdr:row>79</xdr:row>
      <xdr:rowOff>133350</xdr:rowOff>
    </xdr:to>
    <xdr:graphicFrame macro="">
      <xdr:nvGraphicFramePr>
        <xdr:cNvPr id="4" name="グラフ 10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80</xdr:row>
      <xdr:rowOff>57150</xdr:rowOff>
    </xdr:from>
    <xdr:to>
      <xdr:col>7</xdr:col>
      <xdr:colOff>647700</xdr:colOff>
      <xdr:row>105</xdr:row>
      <xdr:rowOff>38100</xdr:rowOff>
    </xdr:to>
    <xdr:graphicFrame macro="">
      <xdr:nvGraphicFramePr>
        <xdr:cNvPr id="5" name="グラフ 10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57150</xdr:colOff>
      <xdr:row>2</xdr:row>
      <xdr:rowOff>76200</xdr:rowOff>
    </xdr:from>
    <xdr:ext cx="1260238" cy="539122"/>
    <xdr:sp macro="" textlink="">
      <xdr:nvSpPr>
        <xdr:cNvPr id="6" name="Text Box 1038"/>
        <xdr:cNvSpPr txBox="1">
          <a:spLocks noChangeArrowheads="1"/>
        </xdr:cNvSpPr>
      </xdr:nvSpPr>
      <xdr:spPr bwMode="auto">
        <a:xfrm>
          <a:off x="57150" y="419100"/>
          <a:ext cx="1260238" cy="5391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・測定ポイント数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・定格電流値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は各機種ごとに設定</a:t>
          </a:r>
        </a:p>
      </xdr:txBody>
    </xdr:sp>
    <xdr:clientData/>
  </xdr:oneCellAnchor>
  <xdr:twoCellAnchor>
    <xdr:from>
      <xdr:col>14</xdr:col>
      <xdr:colOff>38100</xdr:colOff>
      <xdr:row>10</xdr:row>
      <xdr:rowOff>133350</xdr:rowOff>
    </xdr:from>
    <xdr:to>
      <xdr:col>20</xdr:col>
      <xdr:colOff>19050</xdr:colOff>
      <xdr:row>24</xdr:row>
      <xdr:rowOff>95250</xdr:rowOff>
    </xdr:to>
    <xdr:graphicFrame macro="">
      <xdr:nvGraphicFramePr>
        <xdr:cNvPr id="7" name="グラフ 103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38100</xdr:colOff>
      <xdr:row>24</xdr:row>
      <xdr:rowOff>104775</xdr:rowOff>
    </xdr:from>
    <xdr:to>
      <xdr:col>20</xdr:col>
      <xdr:colOff>9525</xdr:colOff>
      <xdr:row>37</xdr:row>
      <xdr:rowOff>123825</xdr:rowOff>
    </xdr:to>
    <xdr:graphicFrame macro="">
      <xdr:nvGraphicFramePr>
        <xdr:cNvPr id="8" name="グラフ 10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20</xdr:col>
      <xdr:colOff>123825</xdr:colOff>
      <xdr:row>10</xdr:row>
      <xdr:rowOff>133350</xdr:rowOff>
    </xdr:from>
    <xdr:to>
      <xdr:col>26</xdr:col>
      <xdr:colOff>133350</xdr:colOff>
      <xdr:row>24</xdr:row>
      <xdr:rowOff>133350</xdr:rowOff>
    </xdr:to>
    <xdr:graphicFrame macro="">
      <xdr:nvGraphicFramePr>
        <xdr:cNvPr id="9" name="グラフ 104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123825</xdr:colOff>
      <xdr:row>24</xdr:row>
      <xdr:rowOff>152400</xdr:rowOff>
    </xdr:from>
    <xdr:to>
      <xdr:col>26</xdr:col>
      <xdr:colOff>171450</xdr:colOff>
      <xdr:row>37</xdr:row>
      <xdr:rowOff>114300</xdr:rowOff>
    </xdr:to>
    <xdr:graphicFrame macro="">
      <xdr:nvGraphicFramePr>
        <xdr:cNvPr id="10" name="グラフ 104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12</xdr:row>
      <xdr:rowOff>9525</xdr:rowOff>
    </xdr:from>
    <xdr:to>
      <xdr:col>15</xdr:col>
      <xdr:colOff>304800</xdr:colOff>
      <xdr:row>35</xdr:row>
      <xdr:rowOff>57150</xdr:rowOff>
    </xdr:to>
    <xdr:graphicFrame macro="">
      <xdr:nvGraphicFramePr>
        <xdr:cNvPr id="2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57150</xdr:colOff>
      <xdr:row>2</xdr:row>
      <xdr:rowOff>76200</xdr:rowOff>
    </xdr:from>
    <xdr:ext cx="1260238" cy="539122"/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57150" y="419100"/>
          <a:ext cx="1260238" cy="5391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・測定ポイント数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・定格電流値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は各機種ごとに設定</a:t>
          </a:r>
        </a:p>
      </xdr:txBody>
    </xdr:sp>
    <xdr:clientData/>
  </xdr:oneCellAnchor>
  <xdr:twoCellAnchor>
    <xdr:from>
      <xdr:col>7</xdr:col>
      <xdr:colOff>342900</xdr:colOff>
      <xdr:row>36</xdr:row>
      <xdr:rowOff>0</xdr:rowOff>
    </xdr:from>
    <xdr:to>
      <xdr:col>15</xdr:col>
      <xdr:colOff>314325</xdr:colOff>
      <xdr:row>59</xdr:row>
      <xdr:rowOff>76200</xdr:rowOff>
    </xdr:to>
    <xdr:graphicFrame macro="">
      <xdr:nvGraphicFramePr>
        <xdr:cNvPr id="4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0.81582</cdr:x>
      <cdr:y>0.04607</cdr:y>
    </cdr:from>
    <cdr:to>
      <cdr:x>0.91506</cdr:x>
      <cdr:y>0.10131</cdr:y>
    </cdr:to>
    <cdr:sp macro="" textlink="">
      <cdr:nvSpPr>
        <cdr:cNvPr id="1126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98303" y="178818"/>
          <a:ext cx="559384" cy="214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Tc=25℃</a:t>
          </a:r>
        </a:p>
      </cdr:txBody>
    </cdr:sp>
  </cdr:relSizeAnchor>
  <cdr:relSizeAnchor xmlns:cdr="http://schemas.openxmlformats.org/drawingml/2006/chartDrawing">
    <cdr:from>
      <cdr:x>0.70939</cdr:x>
      <cdr:y>0.04453</cdr:y>
    </cdr:from>
    <cdr:to>
      <cdr:x>0.80863</cdr:x>
      <cdr:y>0.09977</cdr:y>
    </cdr:to>
    <cdr:sp macro="" textlink="">
      <cdr:nvSpPr>
        <cdr:cNvPr id="12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98419" y="172840"/>
          <a:ext cx="559384" cy="214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Tc=25℃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0.70939</cdr:x>
      <cdr:y>0.04453</cdr:y>
    </cdr:from>
    <cdr:to>
      <cdr:x>0.8088</cdr:x>
      <cdr:y>0.09937</cdr:y>
    </cdr:to>
    <cdr:sp macro="" textlink="">
      <cdr:nvSpPr>
        <cdr:cNvPr id="12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91662" y="174113"/>
          <a:ext cx="559384" cy="214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Tc=25℃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504825</xdr:colOff>
      <xdr:row>111</xdr:row>
      <xdr:rowOff>104775</xdr:rowOff>
    </xdr:from>
    <xdr:to>
      <xdr:col>35</xdr:col>
      <xdr:colOff>0</xdr:colOff>
      <xdr:row>128</xdr:row>
      <xdr:rowOff>123825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19554825" y="19753489"/>
          <a:ext cx="4257675" cy="3026229"/>
          <a:chOff x="36" y="258"/>
          <a:chExt cx="462" cy="328"/>
        </a:xfrm>
      </xdr:grpSpPr>
      <xdr:sp macro="" textlink="">
        <xdr:nvSpPr>
          <xdr:cNvPr id="3" name="Rectangle 2"/>
          <xdr:cNvSpPr>
            <a:spLocks noChangeArrowheads="1"/>
          </xdr:cNvSpPr>
        </xdr:nvSpPr>
        <xdr:spPr bwMode="auto">
          <a:xfrm>
            <a:off x="36" y="258"/>
            <a:ext cx="462" cy="328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4" name="Rectangle 3"/>
          <xdr:cNvSpPr>
            <a:spLocks noChangeArrowheads="1"/>
          </xdr:cNvSpPr>
        </xdr:nvSpPr>
        <xdr:spPr bwMode="auto">
          <a:xfrm>
            <a:off x="105" y="300"/>
            <a:ext cx="240" cy="240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5" name="Rectangle 4"/>
          <xdr:cNvSpPr>
            <a:spLocks noChangeArrowheads="1"/>
          </xdr:cNvSpPr>
        </xdr:nvSpPr>
        <xdr:spPr bwMode="auto">
          <a:xfrm>
            <a:off x="368" y="376"/>
            <a:ext cx="111" cy="76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28</xdr:col>
      <xdr:colOff>381000</xdr:colOff>
      <xdr:row>130</xdr:row>
      <xdr:rowOff>47625</xdr:rowOff>
    </xdr:from>
    <xdr:to>
      <xdr:col>35</xdr:col>
      <xdr:colOff>161925</xdr:colOff>
      <xdr:row>148</xdr:row>
      <xdr:rowOff>85725</xdr:rowOff>
    </xdr:to>
    <xdr:grpSp>
      <xdr:nvGrpSpPr>
        <xdr:cNvPr id="6" name="Group 5"/>
        <xdr:cNvGrpSpPr>
          <a:grpSpLocks/>
        </xdr:cNvGrpSpPr>
      </xdr:nvGrpSpPr>
      <xdr:grpSpPr bwMode="auto">
        <a:xfrm>
          <a:off x="19431000" y="23057304"/>
          <a:ext cx="4543425" cy="3222171"/>
          <a:chOff x="41" y="356"/>
          <a:chExt cx="492" cy="328"/>
        </a:xfrm>
      </xdr:grpSpPr>
      <xdr:sp macro="" textlink="">
        <xdr:nvSpPr>
          <xdr:cNvPr id="7" name="Rectangle 6"/>
          <xdr:cNvSpPr>
            <a:spLocks noChangeArrowheads="1"/>
          </xdr:cNvSpPr>
        </xdr:nvSpPr>
        <xdr:spPr bwMode="auto">
          <a:xfrm>
            <a:off x="41" y="356"/>
            <a:ext cx="492" cy="328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8" name="Rectangle 7"/>
          <xdr:cNvSpPr>
            <a:spLocks noChangeArrowheads="1"/>
          </xdr:cNvSpPr>
        </xdr:nvSpPr>
        <xdr:spPr bwMode="auto">
          <a:xfrm>
            <a:off x="110" y="396"/>
            <a:ext cx="231" cy="240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9" name="Rectangle 8"/>
          <xdr:cNvSpPr>
            <a:spLocks noChangeArrowheads="1"/>
          </xdr:cNvSpPr>
        </xdr:nvSpPr>
        <xdr:spPr bwMode="auto">
          <a:xfrm>
            <a:off x="373" y="472"/>
            <a:ext cx="135" cy="82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</xdr:row>
          <xdr:rowOff>200025</xdr:rowOff>
        </xdr:from>
        <xdr:to>
          <xdr:col>3</xdr:col>
          <xdr:colOff>514350</xdr:colOff>
          <xdr:row>6</xdr:row>
          <xdr:rowOff>9525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4</xdr:row>
          <xdr:rowOff>200025</xdr:rowOff>
        </xdr:from>
        <xdr:to>
          <xdr:col>6</xdr:col>
          <xdr:colOff>47625</xdr:colOff>
          <xdr:row>6</xdr:row>
          <xdr:rowOff>9525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xdr:twoCellAnchor editAs="oneCell">
    <xdr:from>
      <xdr:col>0</xdr:col>
      <xdr:colOff>47625</xdr:colOff>
      <xdr:row>0</xdr:row>
      <xdr:rowOff>66675</xdr:rowOff>
    </xdr:from>
    <xdr:to>
      <xdr:col>3</xdr:col>
      <xdr:colOff>235744</xdr:colOff>
      <xdr:row>2</xdr:row>
      <xdr:rowOff>142875</xdr:rowOff>
    </xdr:to>
    <xdr:pic>
      <xdr:nvPicPr>
        <xdr:cNvPr id="1060" name="Picture 36" descr="D:\Documents and Settings\ko-fksw\デスクトップ\新HWシミュレーター\Logo\CITILED_T.L.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2085975" cy="495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969696" mc:Ignorable="a14" a14:legacySpreadsheetColorIndex="55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0</xdr:row>
      <xdr:rowOff>126999</xdr:rowOff>
    </xdr:from>
    <xdr:to>
      <xdr:col>12</xdr:col>
      <xdr:colOff>466725</xdr:colOff>
      <xdr:row>2</xdr:row>
      <xdr:rowOff>109007</xdr:rowOff>
    </xdr:to>
    <xdr:sp macro="" textlink="">
      <xdr:nvSpPr>
        <xdr:cNvPr id="1062" name="WordArt 38"/>
        <xdr:cNvSpPr>
          <a:spLocks noChangeArrowheads="1" noChangeShapeType="1" noTextEdit="1"/>
        </xdr:cNvSpPr>
      </xdr:nvSpPr>
      <xdr:spPr bwMode="auto">
        <a:xfrm>
          <a:off x="2284319" y="126999"/>
          <a:ext cx="5690347" cy="407832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2400" b="1" i="1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>
                <a:outerShdw dist="17961" dir="2700000" algn="ctr" rotWithShape="0">
                  <a:srgbClr xmlns:mc="http://schemas.openxmlformats.org/markup-compatibility/2006" xmlns:a14="http://schemas.microsoft.com/office/drawing/2010/main" val="969696" mc:Ignorable="a14" a14:legacySpreadsheetColorIndex="55"/>
                </a:outerShdw>
              </a:effectLst>
              <a:latin typeface="Arial"/>
              <a:cs typeface="Arial"/>
            </a:rPr>
            <a:t>Lighting LED Selection Tool</a:t>
          </a:r>
          <a:endParaRPr lang="ja-JP" altLang="en-US" sz="2400" b="1" i="1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effectLst>
              <a:outerShdw dist="17961" dir="2700000" algn="ctr" rotWithShape="0">
                <a:srgbClr xmlns:mc="http://schemas.openxmlformats.org/markup-compatibility/2006" xmlns:a14="http://schemas.microsoft.com/office/drawing/2010/main" val="969696" mc:Ignorable="a14" a14:legacySpreadsheetColorIndex="55"/>
              </a:outerShdw>
            </a:effectLst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247650</xdr:colOff>
      <xdr:row>4</xdr:row>
      <xdr:rowOff>104775</xdr:rowOff>
    </xdr:from>
    <xdr:to>
      <xdr:col>13</xdr:col>
      <xdr:colOff>314325</xdr:colOff>
      <xdr:row>6</xdr:row>
      <xdr:rowOff>76200</xdr:rowOff>
    </xdr:to>
    <xdr:sp macro="" textlink="">
      <xdr:nvSpPr>
        <xdr:cNvPr id="1063" name="Rectangle 39"/>
        <xdr:cNvSpPr>
          <a:spLocks noChangeArrowheads="1"/>
        </xdr:cNvSpPr>
      </xdr:nvSpPr>
      <xdr:spPr bwMode="auto">
        <a:xfrm>
          <a:off x="247650" y="855569"/>
          <a:ext cx="7272057" cy="397249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FF" mc:Ignorable="a14" a14:legacySpreadsheetColorIndex="33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1</xdr:col>
      <xdr:colOff>28575</xdr:colOff>
      <xdr:row>4</xdr:row>
      <xdr:rowOff>0</xdr:rowOff>
    </xdr:from>
    <xdr:ext cx="1114720" cy="162224"/>
    <xdr:sp macro="" textlink="">
      <xdr:nvSpPr>
        <xdr:cNvPr id="1064" name="Text Box 40"/>
        <xdr:cNvSpPr txBox="1">
          <a:spLocks noChangeArrowheads="1"/>
        </xdr:cNvSpPr>
      </xdr:nvSpPr>
      <xdr:spPr bwMode="auto">
        <a:xfrm>
          <a:off x="384727" y="737152"/>
          <a:ext cx="1114720" cy="1622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36000" tIns="0" rIns="3600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FF"/>
              </a:solidFill>
              <a:latin typeface="Arial"/>
              <a:cs typeface="Arial"/>
            </a:rPr>
            <a:t>Condition input</a:t>
          </a:r>
        </a:p>
      </xdr:txBody>
    </xdr:sp>
    <xdr:clientData/>
  </xdr:oneCellAnchor>
  <xdr:twoCellAnchor>
    <xdr:from>
      <xdr:col>21</xdr:col>
      <xdr:colOff>100853</xdr:colOff>
      <xdr:row>5</xdr:row>
      <xdr:rowOff>100853</xdr:rowOff>
    </xdr:from>
    <xdr:to>
      <xdr:col>21</xdr:col>
      <xdr:colOff>571500</xdr:colOff>
      <xdr:row>5</xdr:row>
      <xdr:rowOff>100853</xdr:rowOff>
    </xdr:to>
    <xdr:cxnSp macro="">
      <xdr:nvCxnSpPr>
        <xdr:cNvPr id="13" name="Straight Arrow Connector 12"/>
        <xdr:cNvCxnSpPr/>
      </xdr:nvCxnSpPr>
      <xdr:spPr bwMode="auto">
        <a:xfrm>
          <a:off x="14235953" y="1053353"/>
          <a:ext cx="470647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33618</xdr:colOff>
      <xdr:row>11</xdr:row>
      <xdr:rowOff>12326</xdr:rowOff>
    </xdr:from>
    <xdr:to>
      <xdr:col>6</xdr:col>
      <xdr:colOff>526678</xdr:colOff>
      <xdr:row>22</xdr:row>
      <xdr:rowOff>166967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61</xdr:row>
      <xdr:rowOff>0</xdr:rowOff>
    </xdr:from>
    <xdr:to>
      <xdr:col>15</xdr:col>
      <xdr:colOff>444500</xdr:colOff>
      <xdr:row>74</xdr:row>
      <xdr:rowOff>129117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61</xdr:row>
      <xdr:rowOff>0</xdr:rowOff>
    </xdr:from>
    <xdr:to>
      <xdr:col>22</xdr:col>
      <xdr:colOff>444500</xdr:colOff>
      <xdr:row>74</xdr:row>
      <xdr:rowOff>129117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0</xdr:colOff>
      <xdr:row>61</xdr:row>
      <xdr:rowOff>0</xdr:rowOff>
    </xdr:from>
    <xdr:to>
      <xdr:col>29</xdr:col>
      <xdr:colOff>444500</xdr:colOff>
      <xdr:row>74</xdr:row>
      <xdr:rowOff>129117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61</xdr:row>
      <xdr:rowOff>0</xdr:rowOff>
    </xdr:from>
    <xdr:to>
      <xdr:col>8</xdr:col>
      <xdr:colOff>444500</xdr:colOff>
      <xdr:row>74</xdr:row>
      <xdr:rowOff>129117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85</xdr:row>
      <xdr:rowOff>0</xdr:rowOff>
    </xdr:from>
    <xdr:to>
      <xdr:col>15</xdr:col>
      <xdr:colOff>444500</xdr:colOff>
      <xdr:row>98</xdr:row>
      <xdr:rowOff>129117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0</xdr:colOff>
      <xdr:row>85</xdr:row>
      <xdr:rowOff>0</xdr:rowOff>
    </xdr:from>
    <xdr:to>
      <xdr:col>22</xdr:col>
      <xdr:colOff>444500</xdr:colOff>
      <xdr:row>98</xdr:row>
      <xdr:rowOff>129117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23</xdr:col>
      <xdr:colOff>0</xdr:colOff>
      <xdr:row>85</xdr:row>
      <xdr:rowOff>0</xdr:rowOff>
    </xdr:from>
    <xdr:to>
      <xdr:col>29</xdr:col>
      <xdr:colOff>444500</xdr:colOff>
      <xdr:row>98</xdr:row>
      <xdr:rowOff>129117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85</xdr:row>
      <xdr:rowOff>0</xdr:rowOff>
    </xdr:from>
    <xdr:to>
      <xdr:col>8</xdr:col>
      <xdr:colOff>444500</xdr:colOff>
      <xdr:row>98</xdr:row>
      <xdr:rowOff>129117</xdr:rowOff>
    </xdr:to>
    <xdr:graphicFrame macro="">
      <xdr:nvGraphicFramePr>
        <xdr:cNvPr id="9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0</xdr:colOff>
      <xdr:row>11</xdr:row>
      <xdr:rowOff>0</xdr:rowOff>
    </xdr:from>
    <xdr:to>
      <xdr:col>15</xdr:col>
      <xdr:colOff>444500</xdr:colOff>
      <xdr:row>24</xdr:row>
      <xdr:rowOff>129117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0</xdr:colOff>
      <xdr:row>11</xdr:row>
      <xdr:rowOff>0</xdr:rowOff>
    </xdr:from>
    <xdr:to>
      <xdr:col>22</xdr:col>
      <xdr:colOff>444500</xdr:colOff>
      <xdr:row>24</xdr:row>
      <xdr:rowOff>129117</xdr:rowOff>
    </xdr:to>
    <xdr:graphicFrame macro="">
      <xdr:nvGraphicFramePr>
        <xdr:cNvPr id="11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23</xdr:col>
      <xdr:colOff>0</xdr:colOff>
      <xdr:row>11</xdr:row>
      <xdr:rowOff>0</xdr:rowOff>
    </xdr:from>
    <xdr:to>
      <xdr:col>29</xdr:col>
      <xdr:colOff>444500</xdr:colOff>
      <xdr:row>24</xdr:row>
      <xdr:rowOff>129117</xdr:rowOff>
    </xdr:to>
    <xdr:graphicFrame macro="">
      <xdr:nvGraphicFramePr>
        <xdr:cNvPr id="1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0</xdr:colOff>
      <xdr:row>11</xdr:row>
      <xdr:rowOff>0</xdr:rowOff>
    </xdr:from>
    <xdr:to>
      <xdr:col>8</xdr:col>
      <xdr:colOff>444500</xdr:colOff>
      <xdr:row>24</xdr:row>
      <xdr:rowOff>129117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31</xdr:col>
      <xdr:colOff>0</xdr:colOff>
      <xdr:row>11</xdr:row>
      <xdr:rowOff>0</xdr:rowOff>
    </xdr:from>
    <xdr:to>
      <xdr:col>37</xdr:col>
      <xdr:colOff>444500</xdr:colOff>
      <xdr:row>24</xdr:row>
      <xdr:rowOff>129117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36</xdr:row>
      <xdr:rowOff>0</xdr:rowOff>
    </xdr:from>
    <xdr:to>
      <xdr:col>15</xdr:col>
      <xdr:colOff>444500</xdr:colOff>
      <xdr:row>49</xdr:row>
      <xdr:rowOff>129117</xdr:rowOff>
    </xdr:to>
    <xdr:graphicFrame macro="">
      <xdr:nvGraphicFramePr>
        <xdr:cNvPr id="15" name="グラフ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16</xdr:col>
      <xdr:colOff>0</xdr:colOff>
      <xdr:row>36</xdr:row>
      <xdr:rowOff>0</xdr:rowOff>
    </xdr:from>
    <xdr:to>
      <xdr:col>22</xdr:col>
      <xdr:colOff>444500</xdr:colOff>
      <xdr:row>49</xdr:row>
      <xdr:rowOff>129117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23</xdr:col>
      <xdr:colOff>0</xdr:colOff>
      <xdr:row>36</xdr:row>
      <xdr:rowOff>0</xdr:rowOff>
    </xdr:from>
    <xdr:to>
      <xdr:col>29</xdr:col>
      <xdr:colOff>444500</xdr:colOff>
      <xdr:row>49</xdr:row>
      <xdr:rowOff>129117</xdr:rowOff>
    </xdr:to>
    <xdr:graphicFrame macro="">
      <xdr:nvGraphicFramePr>
        <xdr:cNvPr id="17" name="グラフ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</xdr:col>
      <xdr:colOff>0</xdr:colOff>
      <xdr:row>36</xdr:row>
      <xdr:rowOff>0</xdr:rowOff>
    </xdr:from>
    <xdr:to>
      <xdr:col>8</xdr:col>
      <xdr:colOff>444500</xdr:colOff>
      <xdr:row>49</xdr:row>
      <xdr:rowOff>129117</xdr:rowOff>
    </xdr:to>
    <xdr:graphicFrame macro="">
      <xdr:nvGraphicFramePr>
        <xdr:cNvPr id="18" name="グラフ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</xdr:col>
      <xdr:colOff>421820</xdr:colOff>
      <xdr:row>15</xdr:row>
      <xdr:rowOff>149679</xdr:rowOff>
    </xdr:from>
    <xdr:to>
      <xdr:col>6</xdr:col>
      <xdr:colOff>345625</xdr:colOff>
      <xdr:row>17</xdr:row>
      <xdr:rowOff>87842</xdr:rowOff>
    </xdr:to>
    <xdr:sp macro="" textlink="">
      <xdr:nvSpPr>
        <xdr:cNvPr id="19" name="テキスト ボックス 18"/>
        <xdr:cNvSpPr txBox="1"/>
      </xdr:nvSpPr>
      <xdr:spPr>
        <a:xfrm>
          <a:off x="2403020" y="3150054"/>
          <a:ext cx="1295405" cy="3382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144.2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129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5</xdr:col>
      <xdr:colOff>16326</xdr:colOff>
      <xdr:row>18</xdr:row>
      <xdr:rowOff>84360</xdr:rowOff>
    </xdr:from>
    <xdr:to>
      <xdr:col>6</xdr:col>
      <xdr:colOff>620488</xdr:colOff>
      <xdr:row>20</xdr:row>
      <xdr:rowOff>22523</xdr:rowOff>
    </xdr:to>
    <xdr:sp macro="" textlink="">
      <xdr:nvSpPr>
        <xdr:cNvPr id="20" name="テキスト ボックス 19"/>
        <xdr:cNvSpPr txBox="1"/>
      </xdr:nvSpPr>
      <xdr:spPr>
        <a:xfrm>
          <a:off x="2683326" y="3684810"/>
          <a:ext cx="1289962" cy="3382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148.7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132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11</xdr:col>
      <xdr:colOff>451754</xdr:colOff>
      <xdr:row>15</xdr:row>
      <xdr:rowOff>125186</xdr:rowOff>
    </xdr:from>
    <xdr:to>
      <xdr:col>13</xdr:col>
      <xdr:colOff>375559</xdr:colOff>
      <xdr:row>17</xdr:row>
      <xdr:rowOff>63349</xdr:rowOff>
    </xdr:to>
    <xdr:sp macro="" textlink="">
      <xdr:nvSpPr>
        <xdr:cNvPr id="21" name="テキスト ボックス 20"/>
        <xdr:cNvSpPr txBox="1"/>
      </xdr:nvSpPr>
      <xdr:spPr>
        <a:xfrm>
          <a:off x="7233554" y="3125561"/>
          <a:ext cx="1295405" cy="3382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162.8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127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12</xdr:col>
      <xdr:colOff>5439</xdr:colOff>
      <xdr:row>18</xdr:row>
      <xdr:rowOff>73474</xdr:rowOff>
    </xdr:from>
    <xdr:to>
      <xdr:col>13</xdr:col>
      <xdr:colOff>609601</xdr:colOff>
      <xdr:row>20</xdr:row>
      <xdr:rowOff>11637</xdr:rowOff>
    </xdr:to>
    <xdr:sp macro="" textlink="">
      <xdr:nvSpPr>
        <xdr:cNvPr id="22" name="テキスト ボックス 21"/>
        <xdr:cNvSpPr txBox="1"/>
      </xdr:nvSpPr>
      <xdr:spPr>
        <a:xfrm>
          <a:off x="7473039" y="3673924"/>
          <a:ext cx="1289962" cy="3382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162.4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130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18</xdr:col>
      <xdr:colOff>345618</xdr:colOff>
      <xdr:row>17</xdr:row>
      <xdr:rowOff>155123</xdr:rowOff>
    </xdr:from>
    <xdr:to>
      <xdr:col>20</xdr:col>
      <xdr:colOff>269423</xdr:colOff>
      <xdr:row>19</xdr:row>
      <xdr:rowOff>93285</xdr:rowOff>
    </xdr:to>
    <xdr:sp macro="" textlink="">
      <xdr:nvSpPr>
        <xdr:cNvPr id="23" name="テキスト ボックス 22"/>
        <xdr:cNvSpPr txBox="1"/>
      </xdr:nvSpPr>
      <xdr:spPr>
        <a:xfrm>
          <a:off x="11928018" y="3555548"/>
          <a:ext cx="1295405" cy="338212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197.6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118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19</xdr:col>
      <xdr:colOff>8159</xdr:colOff>
      <xdr:row>19</xdr:row>
      <xdr:rowOff>76196</xdr:rowOff>
    </xdr:from>
    <xdr:to>
      <xdr:col>20</xdr:col>
      <xdr:colOff>612321</xdr:colOff>
      <xdr:row>21</xdr:row>
      <xdr:rowOff>14359</xdr:rowOff>
    </xdr:to>
    <xdr:sp macro="" textlink="">
      <xdr:nvSpPr>
        <xdr:cNvPr id="24" name="テキスト ボックス 23"/>
        <xdr:cNvSpPr txBox="1"/>
      </xdr:nvSpPr>
      <xdr:spPr>
        <a:xfrm>
          <a:off x="12276359" y="3876671"/>
          <a:ext cx="1289962" cy="3382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196.3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132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25</xdr:col>
      <xdr:colOff>212266</xdr:colOff>
      <xdr:row>15</xdr:row>
      <xdr:rowOff>117024</xdr:rowOff>
    </xdr:from>
    <xdr:to>
      <xdr:col>27</xdr:col>
      <xdr:colOff>136071</xdr:colOff>
      <xdr:row>17</xdr:row>
      <xdr:rowOff>55187</xdr:rowOff>
    </xdr:to>
    <xdr:sp macro="" textlink="">
      <xdr:nvSpPr>
        <xdr:cNvPr id="25" name="テキスト ボックス 24"/>
        <xdr:cNvSpPr txBox="1"/>
      </xdr:nvSpPr>
      <xdr:spPr>
        <a:xfrm>
          <a:off x="16459195" y="3178631"/>
          <a:ext cx="1284519" cy="34637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198.5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123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26</xdr:col>
      <xdr:colOff>38091</xdr:colOff>
      <xdr:row>17</xdr:row>
      <xdr:rowOff>24491</xdr:rowOff>
    </xdr:from>
    <xdr:to>
      <xdr:col>27</xdr:col>
      <xdr:colOff>642253</xdr:colOff>
      <xdr:row>18</xdr:row>
      <xdr:rowOff>166760</xdr:rowOff>
    </xdr:to>
    <xdr:sp macro="" textlink="">
      <xdr:nvSpPr>
        <xdr:cNvPr id="26" name="テキスト ボックス 25"/>
        <xdr:cNvSpPr txBox="1"/>
      </xdr:nvSpPr>
      <xdr:spPr>
        <a:xfrm>
          <a:off x="17106891" y="3424916"/>
          <a:ext cx="1289962" cy="342294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196.8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135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39</xdr:col>
      <xdr:colOff>0</xdr:colOff>
      <xdr:row>11</xdr:row>
      <xdr:rowOff>0</xdr:rowOff>
    </xdr:from>
    <xdr:to>
      <xdr:col>45</xdr:col>
      <xdr:colOff>444501</xdr:colOff>
      <xdr:row>24</xdr:row>
      <xdr:rowOff>129117</xdr:rowOff>
    </xdr:to>
    <xdr:graphicFrame macro="">
      <xdr:nvGraphicFramePr>
        <xdr:cNvPr id="27" name="グラフ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61</xdr:row>
      <xdr:rowOff>0</xdr:rowOff>
    </xdr:from>
    <xdr:to>
      <xdr:col>15</xdr:col>
      <xdr:colOff>444500</xdr:colOff>
      <xdr:row>74</xdr:row>
      <xdr:rowOff>129117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61</xdr:row>
      <xdr:rowOff>0</xdr:rowOff>
    </xdr:from>
    <xdr:to>
      <xdr:col>22</xdr:col>
      <xdr:colOff>444500</xdr:colOff>
      <xdr:row>74</xdr:row>
      <xdr:rowOff>129117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0</xdr:colOff>
      <xdr:row>61</xdr:row>
      <xdr:rowOff>0</xdr:rowOff>
    </xdr:from>
    <xdr:to>
      <xdr:col>29</xdr:col>
      <xdr:colOff>444500</xdr:colOff>
      <xdr:row>74</xdr:row>
      <xdr:rowOff>129117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61</xdr:row>
      <xdr:rowOff>0</xdr:rowOff>
    </xdr:from>
    <xdr:to>
      <xdr:col>8</xdr:col>
      <xdr:colOff>444500</xdr:colOff>
      <xdr:row>74</xdr:row>
      <xdr:rowOff>129117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85</xdr:row>
      <xdr:rowOff>0</xdr:rowOff>
    </xdr:from>
    <xdr:to>
      <xdr:col>15</xdr:col>
      <xdr:colOff>444500</xdr:colOff>
      <xdr:row>98</xdr:row>
      <xdr:rowOff>129117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0</xdr:colOff>
      <xdr:row>85</xdr:row>
      <xdr:rowOff>0</xdr:rowOff>
    </xdr:from>
    <xdr:to>
      <xdr:col>22</xdr:col>
      <xdr:colOff>444500</xdr:colOff>
      <xdr:row>98</xdr:row>
      <xdr:rowOff>129117</xdr:rowOff>
    </xdr:to>
    <xdr:graphicFrame macro="">
      <xdr:nvGraphicFramePr>
        <xdr:cNvPr id="9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23</xdr:col>
      <xdr:colOff>0</xdr:colOff>
      <xdr:row>85</xdr:row>
      <xdr:rowOff>0</xdr:rowOff>
    </xdr:from>
    <xdr:to>
      <xdr:col>29</xdr:col>
      <xdr:colOff>444500</xdr:colOff>
      <xdr:row>98</xdr:row>
      <xdr:rowOff>129117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85</xdr:row>
      <xdr:rowOff>0</xdr:rowOff>
    </xdr:from>
    <xdr:to>
      <xdr:col>8</xdr:col>
      <xdr:colOff>444500</xdr:colOff>
      <xdr:row>98</xdr:row>
      <xdr:rowOff>129117</xdr:rowOff>
    </xdr:to>
    <xdr:graphicFrame macro="">
      <xdr:nvGraphicFramePr>
        <xdr:cNvPr id="11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0</xdr:colOff>
      <xdr:row>11</xdr:row>
      <xdr:rowOff>0</xdr:rowOff>
    </xdr:from>
    <xdr:to>
      <xdr:col>15</xdr:col>
      <xdr:colOff>444500</xdr:colOff>
      <xdr:row>24</xdr:row>
      <xdr:rowOff>129117</xdr:rowOff>
    </xdr:to>
    <xdr:graphicFrame macro="">
      <xdr:nvGraphicFramePr>
        <xdr:cNvPr id="1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0</xdr:colOff>
      <xdr:row>11</xdr:row>
      <xdr:rowOff>0</xdr:rowOff>
    </xdr:from>
    <xdr:to>
      <xdr:col>22</xdr:col>
      <xdr:colOff>444500</xdr:colOff>
      <xdr:row>24</xdr:row>
      <xdr:rowOff>129117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23</xdr:col>
      <xdr:colOff>0</xdr:colOff>
      <xdr:row>11</xdr:row>
      <xdr:rowOff>0</xdr:rowOff>
    </xdr:from>
    <xdr:to>
      <xdr:col>29</xdr:col>
      <xdr:colOff>444500</xdr:colOff>
      <xdr:row>24</xdr:row>
      <xdr:rowOff>129117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0</xdr:colOff>
      <xdr:row>11</xdr:row>
      <xdr:rowOff>0</xdr:rowOff>
    </xdr:from>
    <xdr:to>
      <xdr:col>8</xdr:col>
      <xdr:colOff>444500</xdr:colOff>
      <xdr:row>24</xdr:row>
      <xdr:rowOff>129117</xdr:rowOff>
    </xdr:to>
    <xdr:graphicFrame macro="">
      <xdr:nvGraphicFramePr>
        <xdr:cNvPr id="15" name="グラフ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31</xdr:col>
      <xdr:colOff>0</xdr:colOff>
      <xdr:row>11</xdr:row>
      <xdr:rowOff>0</xdr:rowOff>
    </xdr:from>
    <xdr:to>
      <xdr:col>37</xdr:col>
      <xdr:colOff>444500</xdr:colOff>
      <xdr:row>24</xdr:row>
      <xdr:rowOff>129117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36</xdr:row>
      <xdr:rowOff>0</xdr:rowOff>
    </xdr:from>
    <xdr:to>
      <xdr:col>15</xdr:col>
      <xdr:colOff>444500</xdr:colOff>
      <xdr:row>49</xdr:row>
      <xdr:rowOff>129117</xdr:rowOff>
    </xdr:to>
    <xdr:graphicFrame macro="">
      <xdr:nvGraphicFramePr>
        <xdr:cNvPr id="21" name="グラフ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16</xdr:col>
      <xdr:colOff>0</xdr:colOff>
      <xdr:row>36</xdr:row>
      <xdr:rowOff>0</xdr:rowOff>
    </xdr:from>
    <xdr:to>
      <xdr:col>22</xdr:col>
      <xdr:colOff>444500</xdr:colOff>
      <xdr:row>49</xdr:row>
      <xdr:rowOff>129117</xdr:rowOff>
    </xdr:to>
    <xdr:graphicFrame macro="">
      <xdr:nvGraphicFramePr>
        <xdr:cNvPr id="22" name="グラフ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23</xdr:col>
      <xdr:colOff>0</xdr:colOff>
      <xdr:row>36</xdr:row>
      <xdr:rowOff>0</xdr:rowOff>
    </xdr:from>
    <xdr:to>
      <xdr:col>29</xdr:col>
      <xdr:colOff>444500</xdr:colOff>
      <xdr:row>49</xdr:row>
      <xdr:rowOff>129117</xdr:rowOff>
    </xdr:to>
    <xdr:graphicFrame macro="">
      <xdr:nvGraphicFramePr>
        <xdr:cNvPr id="23" name="グラフ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</xdr:col>
      <xdr:colOff>0</xdr:colOff>
      <xdr:row>36</xdr:row>
      <xdr:rowOff>0</xdr:rowOff>
    </xdr:from>
    <xdr:to>
      <xdr:col>8</xdr:col>
      <xdr:colOff>444500</xdr:colOff>
      <xdr:row>49</xdr:row>
      <xdr:rowOff>129117</xdr:rowOff>
    </xdr:to>
    <xdr:graphicFrame macro="">
      <xdr:nvGraphicFramePr>
        <xdr:cNvPr id="24" name="グラフ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</xdr:col>
      <xdr:colOff>421820</xdr:colOff>
      <xdr:row>15</xdr:row>
      <xdr:rowOff>149679</xdr:rowOff>
    </xdr:from>
    <xdr:to>
      <xdr:col>6</xdr:col>
      <xdr:colOff>345625</xdr:colOff>
      <xdr:row>17</xdr:row>
      <xdr:rowOff>87842</xdr:rowOff>
    </xdr:to>
    <xdr:sp macro="" textlink="">
      <xdr:nvSpPr>
        <xdr:cNvPr id="25" name="テキスト ボックス 24"/>
        <xdr:cNvSpPr txBox="1"/>
      </xdr:nvSpPr>
      <xdr:spPr>
        <a:xfrm>
          <a:off x="2381249" y="3211286"/>
          <a:ext cx="1284519" cy="34637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144.2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129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5</xdr:col>
      <xdr:colOff>16326</xdr:colOff>
      <xdr:row>18</xdr:row>
      <xdr:rowOff>84360</xdr:rowOff>
    </xdr:from>
    <xdr:to>
      <xdr:col>6</xdr:col>
      <xdr:colOff>620488</xdr:colOff>
      <xdr:row>20</xdr:row>
      <xdr:rowOff>22523</xdr:rowOff>
    </xdr:to>
    <xdr:sp macro="" textlink="">
      <xdr:nvSpPr>
        <xdr:cNvPr id="20" name="テキスト ボックス 19"/>
        <xdr:cNvSpPr txBox="1"/>
      </xdr:nvSpPr>
      <xdr:spPr>
        <a:xfrm>
          <a:off x="2656112" y="3758289"/>
          <a:ext cx="1284519" cy="34637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148.7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132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11</xdr:col>
      <xdr:colOff>451754</xdr:colOff>
      <xdr:row>15</xdr:row>
      <xdr:rowOff>125186</xdr:rowOff>
    </xdr:from>
    <xdr:to>
      <xdr:col>13</xdr:col>
      <xdr:colOff>375559</xdr:colOff>
      <xdr:row>17</xdr:row>
      <xdr:rowOff>63349</xdr:rowOff>
    </xdr:to>
    <xdr:sp macro="" textlink="">
      <xdr:nvSpPr>
        <xdr:cNvPr id="26" name="テキスト ボックス 25"/>
        <xdr:cNvSpPr txBox="1"/>
      </xdr:nvSpPr>
      <xdr:spPr>
        <a:xfrm>
          <a:off x="7173683" y="3186793"/>
          <a:ext cx="1284519" cy="34637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162.8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127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12</xdr:col>
      <xdr:colOff>5439</xdr:colOff>
      <xdr:row>18</xdr:row>
      <xdr:rowOff>73474</xdr:rowOff>
    </xdr:from>
    <xdr:to>
      <xdr:col>13</xdr:col>
      <xdr:colOff>609601</xdr:colOff>
      <xdr:row>20</xdr:row>
      <xdr:rowOff>11637</xdr:rowOff>
    </xdr:to>
    <xdr:sp macro="" textlink="">
      <xdr:nvSpPr>
        <xdr:cNvPr id="27" name="テキスト ボックス 26"/>
        <xdr:cNvSpPr txBox="1"/>
      </xdr:nvSpPr>
      <xdr:spPr>
        <a:xfrm>
          <a:off x="7407725" y="3747403"/>
          <a:ext cx="1284519" cy="34637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162.4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130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18</xdr:col>
      <xdr:colOff>372832</xdr:colOff>
      <xdr:row>17</xdr:row>
      <xdr:rowOff>155123</xdr:rowOff>
    </xdr:from>
    <xdr:to>
      <xdr:col>20</xdr:col>
      <xdr:colOff>296637</xdr:colOff>
      <xdr:row>19</xdr:row>
      <xdr:rowOff>93285</xdr:rowOff>
    </xdr:to>
    <xdr:sp macro="" textlink="">
      <xdr:nvSpPr>
        <xdr:cNvPr id="28" name="テキスト ボックス 27"/>
        <xdr:cNvSpPr txBox="1"/>
      </xdr:nvSpPr>
      <xdr:spPr>
        <a:xfrm>
          <a:off x="11857261" y="3624944"/>
          <a:ext cx="1284519" cy="34637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200.9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121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19</xdr:col>
      <xdr:colOff>8159</xdr:colOff>
      <xdr:row>19</xdr:row>
      <xdr:rowOff>76196</xdr:rowOff>
    </xdr:from>
    <xdr:to>
      <xdr:col>20</xdr:col>
      <xdr:colOff>612321</xdr:colOff>
      <xdr:row>21</xdr:row>
      <xdr:rowOff>14359</xdr:rowOff>
    </xdr:to>
    <xdr:sp macro="" textlink="">
      <xdr:nvSpPr>
        <xdr:cNvPr id="29" name="テキスト ボックス 28"/>
        <xdr:cNvSpPr txBox="1"/>
      </xdr:nvSpPr>
      <xdr:spPr>
        <a:xfrm>
          <a:off x="12172945" y="3954232"/>
          <a:ext cx="1284519" cy="34637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196.3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132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25</xdr:col>
      <xdr:colOff>266694</xdr:colOff>
      <xdr:row>15</xdr:row>
      <xdr:rowOff>117024</xdr:rowOff>
    </xdr:from>
    <xdr:to>
      <xdr:col>27</xdr:col>
      <xdr:colOff>190499</xdr:colOff>
      <xdr:row>17</xdr:row>
      <xdr:rowOff>55187</xdr:rowOff>
    </xdr:to>
    <xdr:sp macro="" textlink="">
      <xdr:nvSpPr>
        <xdr:cNvPr id="30" name="テキスト ボックス 29"/>
        <xdr:cNvSpPr txBox="1"/>
      </xdr:nvSpPr>
      <xdr:spPr>
        <a:xfrm>
          <a:off x="16513623" y="3178631"/>
          <a:ext cx="1284519" cy="34637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201.6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126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26</xdr:col>
      <xdr:colOff>38091</xdr:colOff>
      <xdr:row>17</xdr:row>
      <xdr:rowOff>24491</xdr:rowOff>
    </xdr:from>
    <xdr:to>
      <xdr:col>27</xdr:col>
      <xdr:colOff>642253</xdr:colOff>
      <xdr:row>18</xdr:row>
      <xdr:rowOff>166760</xdr:rowOff>
    </xdr:to>
    <xdr:sp macro="" textlink="">
      <xdr:nvSpPr>
        <xdr:cNvPr id="31" name="テキスト ボックス 30"/>
        <xdr:cNvSpPr txBox="1"/>
      </xdr:nvSpPr>
      <xdr:spPr>
        <a:xfrm>
          <a:off x="16965377" y="3494312"/>
          <a:ext cx="1284519" cy="346377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196.8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135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39</xdr:col>
      <xdr:colOff>0</xdr:colOff>
      <xdr:row>11</xdr:row>
      <xdr:rowOff>0</xdr:rowOff>
    </xdr:from>
    <xdr:to>
      <xdr:col>45</xdr:col>
      <xdr:colOff>444501</xdr:colOff>
      <xdr:row>24</xdr:row>
      <xdr:rowOff>129117</xdr:rowOff>
    </xdr:to>
    <xdr:graphicFrame macro="">
      <xdr:nvGraphicFramePr>
        <xdr:cNvPr id="34" name="グラフ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86</xdr:row>
      <xdr:rowOff>0</xdr:rowOff>
    </xdr:from>
    <xdr:to>
      <xdr:col>15</xdr:col>
      <xdr:colOff>444500</xdr:colOff>
      <xdr:row>99</xdr:row>
      <xdr:rowOff>129117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86</xdr:row>
      <xdr:rowOff>0</xdr:rowOff>
    </xdr:from>
    <xdr:to>
      <xdr:col>22</xdr:col>
      <xdr:colOff>444500</xdr:colOff>
      <xdr:row>99</xdr:row>
      <xdr:rowOff>129117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0</xdr:colOff>
      <xdr:row>86</xdr:row>
      <xdr:rowOff>0</xdr:rowOff>
    </xdr:from>
    <xdr:to>
      <xdr:col>29</xdr:col>
      <xdr:colOff>444500</xdr:colOff>
      <xdr:row>99</xdr:row>
      <xdr:rowOff>129117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86</xdr:row>
      <xdr:rowOff>0</xdr:rowOff>
    </xdr:from>
    <xdr:to>
      <xdr:col>8</xdr:col>
      <xdr:colOff>444500</xdr:colOff>
      <xdr:row>99</xdr:row>
      <xdr:rowOff>129117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110</xdr:row>
      <xdr:rowOff>0</xdr:rowOff>
    </xdr:from>
    <xdr:to>
      <xdr:col>15</xdr:col>
      <xdr:colOff>444500</xdr:colOff>
      <xdr:row>123</xdr:row>
      <xdr:rowOff>129117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0</xdr:colOff>
      <xdr:row>110</xdr:row>
      <xdr:rowOff>0</xdr:rowOff>
    </xdr:from>
    <xdr:to>
      <xdr:col>22</xdr:col>
      <xdr:colOff>444500</xdr:colOff>
      <xdr:row>123</xdr:row>
      <xdr:rowOff>129117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23</xdr:col>
      <xdr:colOff>0</xdr:colOff>
      <xdr:row>110</xdr:row>
      <xdr:rowOff>0</xdr:rowOff>
    </xdr:from>
    <xdr:to>
      <xdr:col>29</xdr:col>
      <xdr:colOff>444500</xdr:colOff>
      <xdr:row>123</xdr:row>
      <xdr:rowOff>129117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110</xdr:row>
      <xdr:rowOff>0</xdr:rowOff>
    </xdr:from>
    <xdr:to>
      <xdr:col>8</xdr:col>
      <xdr:colOff>444500</xdr:colOff>
      <xdr:row>123</xdr:row>
      <xdr:rowOff>129117</xdr:rowOff>
    </xdr:to>
    <xdr:graphicFrame macro="">
      <xdr:nvGraphicFramePr>
        <xdr:cNvPr id="9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0</xdr:colOff>
      <xdr:row>36</xdr:row>
      <xdr:rowOff>0</xdr:rowOff>
    </xdr:from>
    <xdr:to>
      <xdr:col>15</xdr:col>
      <xdr:colOff>444500</xdr:colOff>
      <xdr:row>49</xdr:row>
      <xdr:rowOff>129117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0</xdr:colOff>
      <xdr:row>36</xdr:row>
      <xdr:rowOff>0</xdr:rowOff>
    </xdr:from>
    <xdr:to>
      <xdr:col>22</xdr:col>
      <xdr:colOff>444500</xdr:colOff>
      <xdr:row>49</xdr:row>
      <xdr:rowOff>129117</xdr:rowOff>
    </xdr:to>
    <xdr:graphicFrame macro="">
      <xdr:nvGraphicFramePr>
        <xdr:cNvPr id="11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23</xdr:col>
      <xdr:colOff>0</xdr:colOff>
      <xdr:row>36</xdr:row>
      <xdr:rowOff>0</xdr:rowOff>
    </xdr:from>
    <xdr:to>
      <xdr:col>29</xdr:col>
      <xdr:colOff>444500</xdr:colOff>
      <xdr:row>49</xdr:row>
      <xdr:rowOff>129117</xdr:rowOff>
    </xdr:to>
    <xdr:graphicFrame macro="">
      <xdr:nvGraphicFramePr>
        <xdr:cNvPr id="1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0</xdr:colOff>
      <xdr:row>36</xdr:row>
      <xdr:rowOff>0</xdr:rowOff>
    </xdr:from>
    <xdr:to>
      <xdr:col>8</xdr:col>
      <xdr:colOff>444500</xdr:colOff>
      <xdr:row>49</xdr:row>
      <xdr:rowOff>129117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31</xdr:col>
      <xdr:colOff>0</xdr:colOff>
      <xdr:row>36</xdr:row>
      <xdr:rowOff>0</xdr:rowOff>
    </xdr:from>
    <xdr:to>
      <xdr:col>37</xdr:col>
      <xdr:colOff>444500</xdr:colOff>
      <xdr:row>49</xdr:row>
      <xdr:rowOff>129117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61</xdr:row>
      <xdr:rowOff>0</xdr:rowOff>
    </xdr:from>
    <xdr:to>
      <xdr:col>15</xdr:col>
      <xdr:colOff>444500</xdr:colOff>
      <xdr:row>74</xdr:row>
      <xdr:rowOff>129117</xdr:rowOff>
    </xdr:to>
    <xdr:graphicFrame macro="">
      <xdr:nvGraphicFramePr>
        <xdr:cNvPr id="15" name="グラフ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16</xdr:col>
      <xdr:colOff>0</xdr:colOff>
      <xdr:row>61</xdr:row>
      <xdr:rowOff>0</xdr:rowOff>
    </xdr:from>
    <xdr:to>
      <xdr:col>22</xdr:col>
      <xdr:colOff>444500</xdr:colOff>
      <xdr:row>74</xdr:row>
      <xdr:rowOff>129117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23</xdr:col>
      <xdr:colOff>0</xdr:colOff>
      <xdr:row>61</xdr:row>
      <xdr:rowOff>0</xdr:rowOff>
    </xdr:from>
    <xdr:to>
      <xdr:col>29</xdr:col>
      <xdr:colOff>444500</xdr:colOff>
      <xdr:row>74</xdr:row>
      <xdr:rowOff>129117</xdr:rowOff>
    </xdr:to>
    <xdr:graphicFrame macro="">
      <xdr:nvGraphicFramePr>
        <xdr:cNvPr id="17" name="グラフ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</xdr:col>
      <xdr:colOff>0</xdr:colOff>
      <xdr:row>61</xdr:row>
      <xdr:rowOff>0</xdr:rowOff>
    </xdr:from>
    <xdr:to>
      <xdr:col>8</xdr:col>
      <xdr:colOff>444500</xdr:colOff>
      <xdr:row>74</xdr:row>
      <xdr:rowOff>129117</xdr:rowOff>
    </xdr:to>
    <xdr:graphicFrame macro="">
      <xdr:nvGraphicFramePr>
        <xdr:cNvPr id="18" name="グラフ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</xdr:col>
      <xdr:colOff>421820</xdr:colOff>
      <xdr:row>40</xdr:row>
      <xdr:rowOff>149679</xdr:rowOff>
    </xdr:from>
    <xdr:to>
      <xdr:col>6</xdr:col>
      <xdr:colOff>345625</xdr:colOff>
      <xdr:row>42</xdr:row>
      <xdr:rowOff>87842</xdr:rowOff>
    </xdr:to>
    <xdr:sp macro="" textlink="">
      <xdr:nvSpPr>
        <xdr:cNvPr id="19" name="テキスト ボックス 18"/>
        <xdr:cNvSpPr txBox="1"/>
      </xdr:nvSpPr>
      <xdr:spPr>
        <a:xfrm>
          <a:off x="2403020" y="3150054"/>
          <a:ext cx="1295405" cy="3382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144.2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129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5</xdr:col>
      <xdr:colOff>16326</xdr:colOff>
      <xdr:row>43</xdr:row>
      <xdr:rowOff>84360</xdr:rowOff>
    </xdr:from>
    <xdr:to>
      <xdr:col>6</xdr:col>
      <xdr:colOff>620488</xdr:colOff>
      <xdr:row>45</xdr:row>
      <xdr:rowOff>22523</xdr:rowOff>
    </xdr:to>
    <xdr:sp macro="" textlink="">
      <xdr:nvSpPr>
        <xdr:cNvPr id="20" name="テキスト ボックス 19"/>
        <xdr:cNvSpPr txBox="1"/>
      </xdr:nvSpPr>
      <xdr:spPr>
        <a:xfrm>
          <a:off x="2683326" y="3684810"/>
          <a:ext cx="1289962" cy="3382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148.7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132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11</xdr:col>
      <xdr:colOff>451754</xdr:colOff>
      <xdr:row>40</xdr:row>
      <xdr:rowOff>125186</xdr:rowOff>
    </xdr:from>
    <xdr:to>
      <xdr:col>13</xdr:col>
      <xdr:colOff>375559</xdr:colOff>
      <xdr:row>42</xdr:row>
      <xdr:rowOff>63349</xdr:rowOff>
    </xdr:to>
    <xdr:sp macro="" textlink="">
      <xdr:nvSpPr>
        <xdr:cNvPr id="21" name="テキスト ボックス 20"/>
        <xdr:cNvSpPr txBox="1"/>
      </xdr:nvSpPr>
      <xdr:spPr>
        <a:xfrm>
          <a:off x="7233554" y="3125561"/>
          <a:ext cx="1295405" cy="3382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162.8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127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12</xdr:col>
      <xdr:colOff>5439</xdr:colOff>
      <xdr:row>43</xdr:row>
      <xdr:rowOff>73474</xdr:rowOff>
    </xdr:from>
    <xdr:to>
      <xdr:col>13</xdr:col>
      <xdr:colOff>609601</xdr:colOff>
      <xdr:row>45</xdr:row>
      <xdr:rowOff>11637</xdr:rowOff>
    </xdr:to>
    <xdr:sp macro="" textlink="">
      <xdr:nvSpPr>
        <xdr:cNvPr id="22" name="テキスト ボックス 21"/>
        <xdr:cNvSpPr txBox="1"/>
      </xdr:nvSpPr>
      <xdr:spPr>
        <a:xfrm>
          <a:off x="7473039" y="3673924"/>
          <a:ext cx="1289962" cy="3382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162.4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130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18</xdr:col>
      <xdr:colOff>372832</xdr:colOff>
      <xdr:row>42</xdr:row>
      <xdr:rowOff>155123</xdr:rowOff>
    </xdr:from>
    <xdr:to>
      <xdr:col>20</xdr:col>
      <xdr:colOff>296637</xdr:colOff>
      <xdr:row>44</xdr:row>
      <xdr:rowOff>93285</xdr:rowOff>
    </xdr:to>
    <xdr:sp macro="" textlink="">
      <xdr:nvSpPr>
        <xdr:cNvPr id="23" name="テキスト ボックス 22"/>
        <xdr:cNvSpPr txBox="1"/>
      </xdr:nvSpPr>
      <xdr:spPr>
        <a:xfrm>
          <a:off x="11955232" y="3555548"/>
          <a:ext cx="1295405" cy="338212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200.9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121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19</xdr:col>
      <xdr:colOff>8159</xdr:colOff>
      <xdr:row>44</xdr:row>
      <xdr:rowOff>76196</xdr:rowOff>
    </xdr:from>
    <xdr:to>
      <xdr:col>20</xdr:col>
      <xdr:colOff>612321</xdr:colOff>
      <xdr:row>46</xdr:row>
      <xdr:rowOff>14359</xdr:rowOff>
    </xdr:to>
    <xdr:sp macro="" textlink="">
      <xdr:nvSpPr>
        <xdr:cNvPr id="24" name="テキスト ボックス 23"/>
        <xdr:cNvSpPr txBox="1"/>
      </xdr:nvSpPr>
      <xdr:spPr>
        <a:xfrm>
          <a:off x="12276359" y="3876671"/>
          <a:ext cx="1289962" cy="3382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196.3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132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25</xdr:col>
      <xdr:colOff>266694</xdr:colOff>
      <xdr:row>40</xdr:row>
      <xdr:rowOff>117024</xdr:rowOff>
    </xdr:from>
    <xdr:to>
      <xdr:col>27</xdr:col>
      <xdr:colOff>190499</xdr:colOff>
      <xdr:row>42</xdr:row>
      <xdr:rowOff>55187</xdr:rowOff>
    </xdr:to>
    <xdr:sp macro="" textlink="">
      <xdr:nvSpPr>
        <xdr:cNvPr id="25" name="テキスト ボックス 24"/>
        <xdr:cNvSpPr txBox="1"/>
      </xdr:nvSpPr>
      <xdr:spPr>
        <a:xfrm>
          <a:off x="16649694" y="3117399"/>
          <a:ext cx="1295405" cy="3382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201.6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126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26</xdr:col>
      <xdr:colOff>38091</xdr:colOff>
      <xdr:row>42</xdr:row>
      <xdr:rowOff>24491</xdr:rowOff>
    </xdr:from>
    <xdr:to>
      <xdr:col>27</xdr:col>
      <xdr:colOff>642253</xdr:colOff>
      <xdr:row>43</xdr:row>
      <xdr:rowOff>166760</xdr:rowOff>
    </xdr:to>
    <xdr:sp macro="" textlink="">
      <xdr:nvSpPr>
        <xdr:cNvPr id="26" name="テキスト ボックス 25"/>
        <xdr:cNvSpPr txBox="1"/>
      </xdr:nvSpPr>
      <xdr:spPr>
        <a:xfrm>
          <a:off x="17106891" y="3424916"/>
          <a:ext cx="1289962" cy="342294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kumimoji="1" lang="en-US" altLang="ja-JP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196.8</a:t>
          </a:r>
          <a:r>
            <a:rPr kumimoji="1" lang="ja-JP" altLang="en-US" sz="1200" u="sng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  <a:r>
            <a:rPr kumimoji="1" lang="en-US" altLang="ja-JP" sz="12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en-US" altLang="ja-JP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135</a:t>
          </a:r>
          <a:r>
            <a:rPr kumimoji="1" lang="ja-JP" altLang="en-US" sz="12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℃</a:t>
          </a:r>
        </a:p>
      </xdr:txBody>
    </xdr:sp>
    <xdr:clientData/>
  </xdr:twoCellAnchor>
  <xdr:twoCellAnchor>
    <xdr:from>
      <xdr:col>39</xdr:col>
      <xdr:colOff>0</xdr:colOff>
      <xdr:row>36</xdr:row>
      <xdr:rowOff>0</xdr:rowOff>
    </xdr:from>
    <xdr:to>
      <xdr:col>45</xdr:col>
      <xdr:colOff>444501</xdr:colOff>
      <xdr:row>49</xdr:row>
      <xdr:rowOff>129117</xdr:rowOff>
    </xdr:to>
    <xdr:graphicFrame macro="">
      <xdr:nvGraphicFramePr>
        <xdr:cNvPr id="27" name="グラフ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9</xdr:col>
      <xdr:colOff>0</xdr:colOff>
      <xdr:row>11</xdr:row>
      <xdr:rowOff>0</xdr:rowOff>
    </xdr:from>
    <xdr:to>
      <xdr:col>15</xdr:col>
      <xdr:colOff>444500</xdr:colOff>
      <xdr:row>24</xdr:row>
      <xdr:rowOff>129117</xdr:rowOff>
    </xdr:to>
    <xdr:graphicFrame macro="">
      <xdr:nvGraphicFramePr>
        <xdr:cNvPr id="34" name="グラフ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16</xdr:col>
      <xdr:colOff>0</xdr:colOff>
      <xdr:row>11</xdr:row>
      <xdr:rowOff>0</xdr:rowOff>
    </xdr:from>
    <xdr:to>
      <xdr:col>22</xdr:col>
      <xdr:colOff>444500</xdr:colOff>
      <xdr:row>24</xdr:row>
      <xdr:rowOff>129117</xdr:rowOff>
    </xdr:to>
    <xdr:graphicFrame macro="">
      <xdr:nvGraphicFramePr>
        <xdr:cNvPr id="35" name="グラフ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23</xdr:col>
      <xdr:colOff>0</xdr:colOff>
      <xdr:row>11</xdr:row>
      <xdr:rowOff>0</xdr:rowOff>
    </xdr:from>
    <xdr:to>
      <xdr:col>29</xdr:col>
      <xdr:colOff>444500</xdr:colOff>
      <xdr:row>24</xdr:row>
      <xdr:rowOff>129117</xdr:rowOff>
    </xdr:to>
    <xdr:graphicFrame macro="">
      <xdr:nvGraphicFramePr>
        <xdr:cNvPr id="36" name="グラフ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2</xdr:col>
      <xdr:colOff>0</xdr:colOff>
      <xdr:row>11</xdr:row>
      <xdr:rowOff>0</xdr:rowOff>
    </xdr:from>
    <xdr:to>
      <xdr:col>8</xdr:col>
      <xdr:colOff>444500</xdr:colOff>
      <xdr:row>24</xdr:row>
      <xdr:rowOff>129117</xdr:rowOff>
    </xdr:to>
    <xdr:graphicFrame macro="">
      <xdr:nvGraphicFramePr>
        <xdr:cNvPr id="37" name="グラフ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61</xdr:row>
      <xdr:rowOff>0</xdr:rowOff>
    </xdr:from>
    <xdr:to>
      <xdr:col>15</xdr:col>
      <xdr:colOff>444500</xdr:colOff>
      <xdr:row>74</xdr:row>
      <xdr:rowOff>129117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61</xdr:row>
      <xdr:rowOff>0</xdr:rowOff>
    </xdr:from>
    <xdr:to>
      <xdr:col>22</xdr:col>
      <xdr:colOff>444500</xdr:colOff>
      <xdr:row>74</xdr:row>
      <xdr:rowOff>129117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0</xdr:colOff>
      <xdr:row>61</xdr:row>
      <xdr:rowOff>0</xdr:rowOff>
    </xdr:from>
    <xdr:to>
      <xdr:col>29</xdr:col>
      <xdr:colOff>444500</xdr:colOff>
      <xdr:row>74</xdr:row>
      <xdr:rowOff>129117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61</xdr:row>
      <xdr:rowOff>0</xdr:rowOff>
    </xdr:from>
    <xdr:to>
      <xdr:col>8</xdr:col>
      <xdr:colOff>444500</xdr:colOff>
      <xdr:row>74</xdr:row>
      <xdr:rowOff>129117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85</xdr:row>
      <xdr:rowOff>0</xdr:rowOff>
    </xdr:from>
    <xdr:to>
      <xdr:col>15</xdr:col>
      <xdr:colOff>444500</xdr:colOff>
      <xdr:row>98</xdr:row>
      <xdr:rowOff>129117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0</xdr:colOff>
      <xdr:row>85</xdr:row>
      <xdr:rowOff>0</xdr:rowOff>
    </xdr:from>
    <xdr:to>
      <xdr:col>22</xdr:col>
      <xdr:colOff>444500</xdr:colOff>
      <xdr:row>98</xdr:row>
      <xdr:rowOff>129117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23</xdr:col>
      <xdr:colOff>0</xdr:colOff>
      <xdr:row>85</xdr:row>
      <xdr:rowOff>0</xdr:rowOff>
    </xdr:from>
    <xdr:to>
      <xdr:col>29</xdr:col>
      <xdr:colOff>444500</xdr:colOff>
      <xdr:row>98</xdr:row>
      <xdr:rowOff>129117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85</xdr:row>
      <xdr:rowOff>0</xdr:rowOff>
    </xdr:from>
    <xdr:to>
      <xdr:col>8</xdr:col>
      <xdr:colOff>444500</xdr:colOff>
      <xdr:row>98</xdr:row>
      <xdr:rowOff>129117</xdr:rowOff>
    </xdr:to>
    <xdr:graphicFrame macro="">
      <xdr:nvGraphicFramePr>
        <xdr:cNvPr id="9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0</xdr:colOff>
      <xdr:row>11</xdr:row>
      <xdr:rowOff>0</xdr:rowOff>
    </xdr:from>
    <xdr:to>
      <xdr:col>15</xdr:col>
      <xdr:colOff>444500</xdr:colOff>
      <xdr:row>24</xdr:row>
      <xdr:rowOff>129117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0</xdr:colOff>
      <xdr:row>11</xdr:row>
      <xdr:rowOff>0</xdr:rowOff>
    </xdr:from>
    <xdr:to>
      <xdr:col>22</xdr:col>
      <xdr:colOff>444500</xdr:colOff>
      <xdr:row>24</xdr:row>
      <xdr:rowOff>129117</xdr:rowOff>
    </xdr:to>
    <xdr:graphicFrame macro="">
      <xdr:nvGraphicFramePr>
        <xdr:cNvPr id="11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23</xdr:col>
      <xdr:colOff>0</xdr:colOff>
      <xdr:row>11</xdr:row>
      <xdr:rowOff>0</xdr:rowOff>
    </xdr:from>
    <xdr:to>
      <xdr:col>29</xdr:col>
      <xdr:colOff>444500</xdr:colOff>
      <xdr:row>24</xdr:row>
      <xdr:rowOff>129117</xdr:rowOff>
    </xdr:to>
    <xdr:graphicFrame macro="">
      <xdr:nvGraphicFramePr>
        <xdr:cNvPr id="1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0</xdr:colOff>
      <xdr:row>11</xdr:row>
      <xdr:rowOff>0</xdr:rowOff>
    </xdr:from>
    <xdr:to>
      <xdr:col>8</xdr:col>
      <xdr:colOff>444500</xdr:colOff>
      <xdr:row>24</xdr:row>
      <xdr:rowOff>129117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31</xdr:col>
      <xdr:colOff>0</xdr:colOff>
      <xdr:row>11</xdr:row>
      <xdr:rowOff>0</xdr:rowOff>
    </xdr:from>
    <xdr:to>
      <xdr:col>37</xdr:col>
      <xdr:colOff>444500</xdr:colOff>
      <xdr:row>24</xdr:row>
      <xdr:rowOff>129117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36</xdr:row>
      <xdr:rowOff>0</xdr:rowOff>
    </xdr:from>
    <xdr:to>
      <xdr:col>15</xdr:col>
      <xdr:colOff>444500</xdr:colOff>
      <xdr:row>49</xdr:row>
      <xdr:rowOff>129117</xdr:rowOff>
    </xdr:to>
    <xdr:graphicFrame macro="">
      <xdr:nvGraphicFramePr>
        <xdr:cNvPr id="15" name="グラフ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16</xdr:col>
      <xdr:colOff>0</xdr:colOff>
      <xdr:row>36</xdr:row>
      <xdr:rowOff>0</xdr:rowOff>
    </xdr:from>
    <xdr:to>
      <xdr:col>22</xdr:col>
      <xdr:colOff>444500</xdr:colOff>
      <xdr:row>49</xdr:row>
      <xdr:rowOff>129117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23</xdr:col>
      <xdr:colOff>0</xdr:colOff>
      <xdr:row>36</xdr:row>
      <xdr:rowOff>0</xdr:rowOff>
    </xdr:from>
    <xdr:to>
      <xdr:col>29</xdr:col>
      <xdr:colOff>444500</xdr:colOff>
      <xdr:row>49</xdr:row>
      <xdr:rowOff>129117</xdr:rowOff>
    </xdr:to>
    <xdr:graphicFrame macro="">
      <xdr:nvGraphicFramePr>
        <xdr:cNvPr id="17" name="グラフ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</xdr:col>
      <xdr:colOff>0</xdr:colOff>
      <xdr:row>36</xdr:row>
      <xdr:rowOff>0</xdr:rowOff>
    </xdr:from>
    <xdr:to>
      <xdr:col>8</xdr:col>
      <xdr:colOff>444500</xdr:colOff>
      <xdr:row>49</xdr:row>
      <xdr:rowOff>129117</xdr:rowOff>
    </xdr:to>
    <xdr:graphicFrame macro="">
      <xdr:nvGraphicFramePr>
        <xdr:cNvPr id="18" name="グラフ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39</xdr:col>
      <xdr:colOff>0</xdr:colOff>
      <xdr:row>11</xdr:row>
      <xdr:rowOff>0</xdr:rowOff>
    </xdr:from>
    <xdr:to>
      <xdr:col>45</xdr:col>
      <xdr:colOff>444501</xdr:colOff>
      <xdr:row>24</xdr:row>
      <xdr:rowOff>129117</xdr:rowOff>
    </xdr:to>
    <xdr:graphicFrame macro="">
      <xdr:nvGraphicFramePr>
        <xdr:cNvPr id="19" name="グラフ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46</xdr:col>
      <xdr:colOff>0</xdr:colOff>
      <xdr:row>12</xdr:row>
      <xdr:rowOff>0</xdr:rowOff>
    </xdr:from>
    <xdr:to>
      <xdr:col>52</xdr:col>
      <xdr:colOff>444500</xdr:colOff>
      <xdr:row>25</xdr:row>
      <xdr:rowOff>129117</xdr:rowOff>
    </xdr:to>
    <xdr:graphicFrame macro="">
      <xdr:nvGraphicFramePr>
        <xdr:cNvPr id="20" name="グラフ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55</xdr:col>
      <xdr:colOff>0</xdr:colOff>
      <xdr:row>12</xdr:row>
      <xdr:rowOff>0</xdr:rowOff>
    </xdr:from>
    <xdr:to>
      <xdr:col>61</xdr:col>
      <xdr:colOff>444500</xdr:colOff>
      <xdr:row>25</xdr:row>
      <xdr:rowOff>129117</xdr:rowOff>
    </xdr:to>
    <xdr:graphicFrame macro="">
      <xdr:nvGraphicFramePr>
        <xdr:cNvPr id="22" name="グラフ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394605</xdr:colOff>
      <xdr:row>11</xdr:row>
      <xdr:rowOff>231322</xdr:rowOff>
    </xdr:from>
    <xdr:to>
      <xdr:col>30</xdr:col>
      <xdr:colOff>394605</xdr:colOff>
      <xdr:row>23</xdr:row>
      <xdr:rowOff>35378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13</xdr:row>
      <xdr:rowOff>0</xdr:rowOff>
    </xdr:from>
    <xdr:to>
      <xdr:col>32</xdr:col>
      <xdr:colOff>0</xdr:colOff>
      <xdr:row>24</xdr:row>
      <xdr:rowOff>42181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13</xdr:row>
      <xdr:rowOff>0</xdr:rowOff>
    </xdr:from>
    <xdr:to>
      <xdr:col>32</xdr:col>
      <xdr:colOff>0</xdr:colOff>
      <xdr:row>24</xdr:row>
      <xdr:rowOff>42181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15</xdr:row>
      <xdr:rowOff>0</xdr:rowOff>
    </xdr:from>
    <xdr:to>
      <xdr:col>32</xdr:col>
      <xdr:colOff>0</xdr:colOff>
      <xdr:row>29</xdr:row>
      <xdr:rowOff>42181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Z86"/>
  <sheetViews>
    <sheetView workbookViewId="0">
      <selection activeCell="C4" sqref="C4"/>
    </sheetView>
  </sheetViews>
  <sheetFormatPr defaultRowHeight="13.5"/>
  <cols>
    <col min="1" max="1" width="9.5" style="329" bestFit="1" customWidth="1"/>
    <col min="2" max="2" width="24.625" style="329" customWidth="1"/>
    <col min="3" max="3" width="13.5" style="329" bestFit="1" customWidth="1"/>
    <col min="4" max="4" width="11" style="329" customWidth="1"/>
    <col min="5" max="7" width="9" style="329"/>
    <col min="8" max="8" width="11.25" style="329" customWidth="1"/>
    <col min="9" max="9" width="10.625" style="329" customWidth="1"/>
    <col min="10" max="52" width="9" style="329"/>
    <col min="53" max="53" width="14" style="329" bestFit="1" customWidth="1"/>
    <col min="54" max="256" width="9" style="329"/>
    <col min="257" max="257" width="9.5" style="329" bestFit="1" customWidth="1"/>
    <col min="258" max="258" width="24.625" style="329" customWidth="1"/>
    <col min="259" max="259" width="13.5" style="329" bestFit="1" customWidth="1"/>
    <col min="260" max="260" width="11" style="329" customWidth="1"/>
    <col min="261" max="263" width="9" style="329"/>
    <col min="264" max="264" width="11.25" style="329" customWidth="1"/>
    <col min="265" max="265" width="10.625" style="329" customWidth="1"/>
    <col min="266" max="308" width="9" style="329"/>
    <col min="309" max="309" width="14" style="329" bestFit="1" customWidth="1"/>
    <col min="310" max="512" width="9" style="329"/>
    <col min="513" max="513" width="9.5" style="329" bestFit="1" customWidth="1"/>
    <col min="514" max="514" width="24.625" style="329" customWidth="1"/>
    <col min="515" max="515" width="13.5" style="329" bestFit="1" customWidth="1"/>
    <col min="516" max="516" width="11" style="329" customWidth="1"/>
    <col min="517" max="519" width="9" style="329"/>
    <col min="520" max="520" width="11.25" style="329" customWidth="1"/>
    <col min="521" max="521" width="10.625" style="329" customWidth="1"/>
    <col min="522" max="564" width="9" style="329"/>
    <col min="565" max="565" width="14" style="329" bestFit="1" customWidth="1"/>
    <col min="566" max="768" width="9" style="329"/>
    <col min="769" max="769" width="9.5" style="329" bestFit="1" customWidth="1"/>
    <col min="770" max="770" width="24.625" style="329" customWidth="1"/>
    <col min="771" max="771" width="13.5" style="329" bestFit="1" customWidth="1"/>
    <col min="772" max="772" width="11" style="329" customWidth="1"/>
    <col min="773" max="775" width="9" style="329"/>
    <col min="776" max="776" width="11.25" style="329" customWidth="1"/>
    <col min="777" max="777" width="10.625" style="329" customWidth="1"/>
    <col min="778" max="820" width="9" style="329"/>
    <col min="821" max="821" width="14" style="329" bestFit="1" customWidth="1"/>
    <col min="822" max="1024" width="9" style="329"/>
    <col min="1025" max="1025" width="9.5" style="329" bestFit="1" customWidth="1"/>
    <col min="1026" max="1026" width="24.625" style="329" customWidth="1"/>
    <col min="1027" max="1027" width="13.5" style="329" bestFit="1" customWidth="1"/>
    <col min="1028" max="1028" width="11" style="329" customWidth="1"/>
    <col min="1029" max="1031" width="9" style="329"/>
    <col min="1032" max="1032" width="11.25" style="329" customWidth="1"/>
    <col min="1033" max="1033" width="10.625" style="329" customWidth="1"/>
    <col min="1034" max="1076" width="9" style="329"/>
    <col min="1077" max="1077" width="14" style="329" bestFit="1" customWidth="1"/>
    <col min="1078" max="1280" width="9" style="329"/>
    <col min="1281" max="1281" width="9.5" style="329" bestFit="1" customWidth="1"/>
    <col min="1282" max="1282" width="24.625" style="329" customWidth="1"/>
    <col min="1283" max="1283" width="13.5" style="329" bestFit="1" customWidth="1"/>
    <col min="1284" max="1284" width="11" style="329" customWidth="1"/>
    <col min="1285" max="1287" width="9" style="329"/>
    <col min="1288" max="1288" width="11.25" style="329" customWidth="1"/>
    <col min="1289" max="1289" width="10.625" style="329" customWidth="1"/>
    <col min="1290" max="1332" width="9" style="329"/>
    <col min="1333" max="1333" width="14" style="329" bestFit="1" customWidth="1"/>
    <col min="1334" max="1536" width="9" style="329"/>
    <col min="1537" max="1537" width="9.5" style="329" bestFit="1" customWidth="1"/>
    <col min="1538" max="1538" width="24.625" style="329" customWidth="1"/>
    <col min="1539" max="1539" width="13.5" style="329" bestFit="1" customWidth="1"/>
    <col min="1540" max="1540" width="11" style="329" customWidth="1"/>
    <col min="1541" max="1543" width="9" style="329"/>
    <col min="1544" max="1544" width="11.25" style="329" customWidth="1"/>
    <col min="1545" max="1545" width="10.625" style="329" customWidth="1"/>
    <col min="1546" max="1588" width="9" style="329"/>
    <col min="1589" max="1589" width="14" style="329" bestFit="1" customWidth="1"/>
    <col min="1590" max="1792" width="9" style="329"/>
    <col min="1793" max="1793" width="9.5" style="329" bestFit="1" customWidth="1"/>
    <col min="1794" max="1794" width="24.625" style="329" customWidth="1"/>
    <col min="1795" max="1795" width="13.5" style="329" bestFit="1" customWidth="1"/>
    <col min="1796" max="1796" width="11" style="329" customWidth="1"/>
    <col min="1797" max="1799" width="9" style="329"/>
    <col min="1800" max="1800" width="11.25" style="329" customWidth="1"/>
    <col min="1801" max="1801" width="10.625" style="329" customWidth="1"/>
    <col min="1802" max="1844" width="9" style="329"/>
    <col min="1845" max="1845" width="14" style="329" bestFit="1" customWidth="1"/>
    <col min="1846" max="2048" width="9" style="329"/>
    <col min="2049" max="2049" width="9.5" style="329" bestFit="1" customWidth="1"/>
    <col min="2050" max="2050" width="24.625" style="329" customWidth="1"/>
    <col min="2051" max="2051" width="13.5" style="329" bestFit="1" customWidth="1"/>
    <col min="2052" max="2052" width="11" style="329" customWidth="1"/>
    <col min="2053" max="2055" width="9" style="329"/>
    <col min="2056" max="2056" width="11.25" style="329" customWidth="1"/>
    <col min="2057" max="2057" width="10.625" style="329" customWidth="1"/>
    <col min="2058" max="2100" width="9" style="329"/>
    <col min="2101" max="2101" width="14" style="329" bestFit="1" customWidth="1"/>
    <col min="2102" max="2304" width="9" style="329"/>
    <col min="2305" max="2305" width="9.5" style="329" bestFit="1" customWidth="1"/>
    <col min="2306" max="2306" width="24.625" style="329" customWidth="1"/>
    <col min="2307" max="2307" width="13.5" style="329" bestFit="1" customWidth="1"/>
    <col min="2308" max="2308" width="11" style="329" customWidth="1"/>
    <col min="2309" max="2311" width="9" style="329"/>
    <col min="2312" max="2312" width="11.25" style="329" customWidth="1"/>
    <col min="2313" max="2313" width="10.625" style="329" customWidth="1"/>
    <col min="2314" max="2356" width="9" style="329"/>
    <col min="2357" max="2357" width="14" style="329" bestFit="1" customWidth="1"/>
    <col min="2358" max="2560" width="9" style="329"/>
    <col min="2561" max="2561" width="9.5" style="329" bestFit="1" customWidth="1"/>
    <col min="2562" max="2562" width="24.625" style="329" customWidth="1"/>
    <col min="2563" max="2563" width="13.5" style="329" bestFit="1" customWidth="1"/>
    <col min="2564" max="2564" width="11" style="329" customWidth="1"/>
    <col min="2565" max="2567" width="9" style="329"/>
    <col min="2568" max="2568" width="11.25" style="329" customWidth="1"/>
    <col min="2569" max="2569" width="10.625" style="329" customWidth="1"/>
    <col min="2570" max="2612" width="9" style="329"/>
    <col min="2613" max="2613" width="14" style="329" bestFit="1" customWidth="1"/>
    <col min="2614" max="2816" width="9" style="329"/>
    <col min="2817" max="2817" width="9.5" style="329" bestFit="1" customWidth="1"/>
    <col min="2818" max="2818" width="24.625" style="329" customWidth="1"/>
    <col min="2819" max="2819" width="13.5" style="329" bestFit="1" customWidth="1"/>
    <col min="2820" max="2820" width="11" style="329" customWidth="1"/>
    <col min="2821" max="2823" width="9" style="329"/>
    <col min="2824" max="2824" width="11.25" style="329" customWidth="1"/>
    <col min="2825" max="2825" width="10.625" style="329" customWidth="1"/>
    <col min="2826" max="2868" width="9" style="329"/>
    <col min="2869" max="2869" width="14" style="329" bestFit="1" customWidth="1"/>
    <col min="2870" max="3072" width="9" style="329"/>
    <col min="3073" max="3073" width="9.5" style="329" bestFit="1" customWidth="1"/>
    <col min="3074" max="3074" width="24.625" style="329" customWidth="1"/>
    <col min="3075" max="3075" width="13.5" style="329" bestFit="1" customWidth="1"/>
    <col min="3076" max="3076" width="11" style="329" customWidth="1"/>
    <col min="3077" max="3079" width="9" style="329"/>
    <col min="3080" max="3080" width="11.25" style="329" customWidth="1"/>
    <col min="3081" max="3081" width="10.625" style="329" customWidth="1"/>
    <col min="3082" max="3124" width="9" style="329"/>
    <col min="3125" max="3125" width="14" style="329" bestFit="1" customWidth="1"/>
    <col min="3126" max="3328" width="9" style="329"/>
    <col min="3329" max="3329" width="9.5" style="329" bestFit="1" customWidth="1"/>
    <col min="3330" max="3330" width="24.625" style="329" customWidth="1"/>
    <col min="3331" max="3331" width="13.5" style="329" bestFit="1" customWidth="1"/>
    <col min="3332" max="3332" width="11" style="329" customWidth="1"/>
    <col min="3333" max="3335" width="9" style="329"/>
    <col min="3336" max="3336" width="11.25" style="329" customWidth="1"/>
    <col min="3337" max="3337" width="10.625" style="329" customWidth="1"/>
    <col min="3338" max="3380" width="9" style="329"/>
    <col min="3381" max="3381" width="14" style="329" bestFit="1" customWidth="1"/>
    <col min="3382" max="3584" width="9" style="329"/>
    <col min="3585" max="3585" width="9.5" style="329" bestFit="1" customWidth="1"/>
    <col min="3586" max="3586" width="24.625" style="329" customWidth="1"/>
    <col min="3587" max="3587" width="13.5" style="329" bestFit="1" customWidth="1"/>
    <col min="3588" max="3588" width="11" style="329" customWidth="1"/>
    <col min="3589" max="3591" width="9" style="329"/>
    <col min="3592" max="3592" width="11.25" style="329" customWidth="1"/>
    <col min="3593" max="3593" width="10.625" style="329" customWidth="1"/>
    <col min="3594" max="3636" width="9" style="329"/>
    <col min="3637" max="3637" width="14" style="329" bestFit="1" customWidth="1"/>
    <col min="3638" max="3840" width="9" style="329"/>
    <col min="3841" max="3841" width="9.5" style="329" bestFit="1" customWidth="1"/>
    <col min="3842" max="3842" width="24.625" style="329" customWidth="1"/>
    <col min="3843" max="3843" width="13.5" style="329" bestFit="1" customWidth="1"/>
    <col min="3844" max="3844" width="11" style="329" customWidth="1"/>
    <col min="3845" max="3847" width="9" style="329"/>
    <col min="3848" max="3848" width="11.25" style="329" customWidth="1"/>
    <col min="3849" max="3849" width="10.625" style="329" customWidth="1"/>
    <col min="3850" max="3892" width="9" style="329"/>
    <col min="3893" max="3893" width="14" style="329" bestFit="1" customWidth="1"/>
    <col min="3894" max="4096" width="9" style="329"/>
    <col min="4097" max="4097" width="9.5" style="329" bestFit="1" customWidth="1"/>
    <col min="4098" max="4098" width="24.625" style="329" customWidth="1"/>
    <col min="4099" max="4099" width="13.5" style="329" bestFit="1" customWidth="1"/>
    <col min="4100" max="4100" width="11" style="329" customWidth="1"/>
    <col min="4101" max="4103" width="9" style="329"/>
    <col min="4104" max="4104" width="11.25" style="329" customWidth="1"/>
    <col min="4105" max="4105" width="10.625" style="329" customWidth="1"/>
    <col min="4106" max="4148" width="9" style="329"/>
    <col min="4149" max="4149" width="14" style="329" bestFit="1" customWidth="1"/>
    <col min="4150" max="4352" width="9" style="329"/>
    <col min="4353" max="4353" width="9.5" style="329" bestFit="1" customWidth="1"/>
    <col min="4354" max="4354" width="24.625" style="329" customWidth="1"/>
    <col min="4355" max="4355" width="13.5" style="329" bestFit="1" customWidth="1"/>
    <col min="4356" max="4356" width="11" style="329" customWidth="1"/>
    <col min="4357" max="4359" width="9" style="329"/>
    <col min="4360" max="4360" width="11.25" style="329" customWidth="1"/>
    <col min="4361" max="4361" width="10.625" style="329" customWidth="1"/>
    <col min="4362" max="4404" width="9" style="329"/>
    <col min="4405" max="4405" width="14" style="329" bestFit="1" customWidth="1"/>
    <col min="4406" max="4608" width="9" style="329"/>
    <col min="4609" max="4609" width="9.5" style="329" bestFit="1" customWidth="1"/>
    <col min="4610" max="4610" width="24.625" style="329" customWidth="1"/>
    <col min="4611" max="4611" width="13.5" style="329" bestFit="1" customWidth="1"/>
    <col min="4612" max="4612" width="11" style="329" customWidth="1"/>
    <col min="4613" max="4615" width="9" style="329"/>
    <col min="4616" max="4616" width="11.25" style="329" customWidth="1"/>
    <col min="4617" max="4617" width="10.625" style="329" customWidth="1"/>
    <col min="4618" max="4660" width="9" style="329"/>
    <col min="4661" max="4661" width="14" style="329" bestFit="1" customWidth="1"/>
    <col min="4662" max="4864" width="9" style="329"/>
    <col min="4865" max="4865" width="9.5" style="329" bestFit="1" customWidth="1"/>
    <col min="4866" max="4866" width="24.625" style="329" customWidth="1"/>
    <col min="4867" max="4867" width="13.5" style="329" bestFit="1" customWidth="1"/>
    <col min="4868" max="4868" width="11" style="329" customWidth="1"/>
    <col min="4869" max="4871" width="9" style="329"/>
    <col min="4872" max="4872" width="11.25" style="329" customWidth="1"/>
    <col min="4873" max="4873" width="10.625" style="329" customWidth="1"/>
    <col min="4874" max="4916" width="9" style="329"/>
    <col min="4917" max="4917" width="14" style="329" bestFit="1" customWidth="1"/>
    <col min="4918" max="5120" width="9" style="329"/>
    <col min="5121" max="5121" width="9.5" style="329" bestFit="1" customWidth="1"/>
    <col min="5122" max="5122" width="24.625" style="329" customWidth="1"/>
    <col min="5123" max="5123" width="13.5" style="329" bestFit="1" customWidth="1"/>
    <col min="5124" max="5124" width="11" style="329" customWidth="1"/>
    <col min="5125" max="5127" width="9" style="329"/>
    <col min="5128" max="5128" width="11.25" style="329" customWidth="1"/>
    <col min="5129" max="5129" width="10.625" style="329" customWidth="1"/>
    <col min="5130" max="5172" width="9" style="329"/>
    <col min="5173" max="5173" width="14" style="329" bestFit="1" customWidth="1"/>
    <col min="5174" max="5376" width="9" style="329"/>
    <col min="5377" max="5377" width="9.5" style="329" bestFit="1" customWidth="1"/>
    <col min="5378" max="5378" width="24.625" style="329" customWidth="1"/>
    <col min="5379" max="5379" width="13.5" style="329" bestFit="1" customWidth="1"/>
    <col min="5380" max="5380" width="11" style="329" customWidth="1"/>
    <col min="5381" max="5383" width="9" style="329"/>
    <col min="5384" max="5384" width="11.25" style="329" customWidth="1"/>
    <col min="5385" max="5385" width="10.625" style="329" customWidth="1"/>
    <col min="5386" max="5428" width="9" style="329"/>
    <col min="5429" max="5429" width="14" style="329" bestFit="1" customWidth="1"/>
    <col min="5430" max="5632" width="9" style="329"/>
    <col min="5633" max="5633" width="9.5" style="329" bestFit="1" customWidth="1"/>
    <col min="5634" max="5634" width="24.625" style="329" customWidth="1"/>
    <col min="5635" max="5635" width="13.5" style="329" bestFit="1" customWidth="1"/>
    <col min="5636" max="5636" width="11" style="329" customWidth="1"/>
    <col min="5637" max="5639" width="9" style="329"/>
    <col min="5640" max="5640" width="11.25" style="329" customWidth="1"/>
    <col min="5641" max="5641" width="10.625" style="329" customWidth="1"/>
    <col min="5642" max="5684" width="9" style="329"/>
    <col min="5685" max="5685" width="14" style="329" bestFit="1" customWidth="1"/>
    <col min="5686" max="5888" width="9" style="329"/>
    <col min="5889" max="5889" width="9.5" style="329" bestFit="1" customWidth="1"/>
    <col min="5890" max="5890" width="24.625" style="329" customWidth="1"/>
    <col min="5891" max="5891" width="13.5" style="329" bestFit="1" customWidth="1"/>
    <col min="5892" max="5892" width="11" style="329" customWidth="1"/>
    <col min="5893" max="5895" width="9" style="329"/>
    <col min="5896" max="5896" width="11.25" style="329" customWidth="1"/>
    <col min="5897" max="5897" width="10.625" style="329" customWidth="1"/>
    <col min="5898" max="5940" width="9" style="329"/>
    <col min="5941" max="5941" width="14" style="329" bestFit="1" customWidth="1"/>
    <col min="5942" max="6144" width="9" style="329"/>
    <col min="6145" max="6145" width="9.5" style="329" bestFit="1" customWidth="1"/>
    <col min="6146" max="6146" width="24.625" style="329" customWidth="1"/>
    <col min="6147" max="6147" width="13.5" style="329" bestFit="1" customWidth="1"/>
    <col min="6148" max="6148" width="11" style="329" customWidth="1"/>
    <col min="6149" max="6151" width="9" style="329"/>
    <col min="6152" max="6152" width="11.25" style="329" customWidth="1"/>
    <col min="6153" max="6153" width="10.625" style="329" customWidth="1"/>
    <col min="6154" max="6196" width="9" style="329"/>
    <col min="6197" max="6197" width="14" style="329" bestFit="1" customWidth="1"/>
    <col min="6198" max="6400" width="9" style="329"/>
    <col min="6401" max="6401" width="9.5" style="329" bestFit="1" customWidth="1"/>
    <col min="6402" max="6402" width="24.625" style="329" customWidth="1"/>
    <col min="6403" max="6403" width="13.5" style="329" bestFit="1" customWidth="1"/>
    <col min="6404" max="6404" width="11" style="329" customWidth="1"/>
    <col min="6405" max="6407" width="9" style="329"/>
    <col min="6408" max="6408" width="11.25" style="329" customWidth="1"/>
    <col min="6409" max="6409" width="10.625" style="329" customWidth="1"/>
    <col min="6410" max="6452" width="9" style="329"/>
    <col min="6453" max="6453" width="14" style="329" bestFit="1" customWidth="1"/>
    <col min="6454" max="6656" width="9" style="329"/>
    <col min="6657" max="6657" width="9.5" style="329" bestFit="1" customWidth="1"/>
    <col min="6658" max="6658" width="24.625" style="329" customWidth="1"/>
    <col min="6659" max="6659" width="13.5" style="329" bestFit="1" customWidth="1"/>
    <col min="6660" max="6660" width="11" style="329" customWidth="1"/>
    <col min="6661" max="6663" width="9" style="329"/>
    <col min="6664" max="6664" width="11.25" style="329" customWidth="1"/>
    <col min="6665" max="6665" width="10.625" style="329" customWidth="1"/>
    <col min="6666" max="6708" width="9" style="329"/>
    <col min="6709" max="6709" width="14" style="329" bestFit="1" customWidth="1"/>
    <col min="6710" max="6912" width="9" style="329"/>
    <col min="6913" max="6913" width="9.5" style="329" bestFit="1" customWidth="1"/>
    <col min="6914" max="6914" width="24.625" style="329" customWidth="1"/>
    <col min="6915" max="6915" width="13.5" style="329" bestFit="1" customWidth="1"/>
    <col min="6916" max="6916" width="11" style="329" customWidth="1"/>
    <col min="6917" max="6919" width="9" style="329"/>
    <col min="6920" max="6920" width="11.25" style="329" customWidth="1"/>
    <col min="6921" max="6921" width="10.625" style="329" customWidth="1"/>
    <col min="6922" max="6964" width="9" style="329"/>
    <col min="6965" max="6965" width="14" style="329" bestFit="1" customWidth="1"/>
    <col min="6966" max="7168" width="9" style="329"/>
    <col min="7169" max="7169" width="9.5" style="329" bestFit="1" customWidth="1"/>
    <col min="7170" max="7170" width="24.625" style="329" customWidth="1"/>
    <col min="7171" max="7171" width="13.5" style="329" bestFit="1" customWidth="1"/>
    <col min="7172" max="7172" width="11" style="329" customWidth="1"/>
    <col min="7173" max="7175" width="9" style="329"/>
    <col min="7176" max="7176" width="11.25" style="329" customWidth="1"/>
    <col min="7177" max="7177" width="10.625" style="329" customWidth="1"/>
    <col min="7178" max="7220" width="9" style="329"/>
    <col min="7221" max="7221" width="14" style="329" bestFit="1" customWidth="1"/>
    <col min="7222" max="7424" width="9" style="329"/>
    <col min="7425" max="7425" width="9.5" style="329" bestFit="1" customWidth="1"/>
    <col min="7426" max="7426" width="24.625" style="329" customWidth="1"/>
    <col min="7427" max="7427" width="13.5" style="329" bestFit="1" customWidth="1"/>
    <col min="7428" max="7428" width="11" style="329" customWidth="1"/>
    <col min="7429" max="7431" width="9" style="329"/>
    <col min="7432" max="7432" width="11.25" style="329" customWidth="1"/>
    <col min="7433" max="7433" width="10.625" style="329" customWidth="1"/>
    <col min="7434" max="7476" width="9" style="329"/>
    <col min="7477" max="7477" width="14" style="329" bestFit="1" customWidth="1"/>
    <col min="7478" max="7680" width="9" style="329"/>
    <col min="7681" max="7681" width="9.5" style="329" bestFit="1" customWidth="1"/>
    <col min="7682" max="7682" width="24.625" style="329" customWidth="1"/>
    <col min="7683" max="7683" width="13.5" style="329" bestFit="1" customWidth="1"/>
    <col min="7684" max="7684" width="11" style="329" customWidth="1"/>
    <col min="7685" max="7687" width="9" style="329"/>
    <col min="7688" max="7688" width="11.25" style="329" customWidth="1"/>
    <col min="7689" max="7689" width="10.625" style="329" customWidth="1"/>
    <col min="7690" max="7732" width="9" style="329"/>
    <col min="7733" max="7733" width="14" style="329" bestFit="1" customWidth="1"/>
    <col min="7734" max="7936" width="9" style="329"/>
    <col min="7937" max="7937" width="9.5" style="329" bestFit="1" customWidth="1"/>
    <col min="7938" max="7938" width="24.625" style="329" customWidth="1"/>
    <col min="7939" max="7939" width="13.5" style="329" bestFit="1" customWidth="1"/>
    <col min="7940" max="7940" width="11" style="329" customWidth="1"/>
    <col min="7941" max="7943" width="9" style="329"/>
    <col min="7944" max="7944" width="11.25" style="329" customWidth="1"/>
    <col min="7945" max="7945" width="10.625" style="329" customWidth="1"/>
    <col min="7946" max="7988" width="9" style="329"/>
    <col min="7989" max="7989" width="14" style="329" bestFit="1" customWidth="1"/>
    <col min="7990" max="8192" width="9" style="329"/>
    <col min="8193" max="8193" width="9.5" style="329" bestFit="1" customWidth="1"/>
    <col min="8194" max="8194" width="24.625" style="329" customWidth="1"/>
    <col min="8195" max="8195" width="13.5" style="329" bestFit="1" customWidth="1"/>
    <col min="8196" max="8196" width="11" style="329" customWidth="1"/>
    <col min="8197" max="8199" width="9" style="329"/>
    <col min="8200" max="8200" width="11.25" style="329" customWidth="1"/>
    <col min="8201" max="8201" width="10.625" style="329" customWidth="1"/>
    <col min="8202" max="8244" width="9" style="329"/>
    <col min="8245" max="8245" width="14" style="329" bestFit="1" customWidth="1"/>
    <col min="8246" max="8448" width="9" style="329"/>
    <col min="8449" max="8449" width="9.5" style="329" bestFit="1" customWidth="1"/>
    <col min="8450" max="8450" width="24.625" style="329" customWidth="1"/>
    <col min="8451" max="8451" width="13.5" style="329" bestFit="1" customWidth="1"/>
    <col min="8452" max="8452" width="11" style="329" customWidth="1"/>
    <col min="8453" max="8455" width="9" style="329"/>
    <col min="8456" max="8456" width="11.25" style="329" customWidth="1"/>
    <col min="8457" max="8457" width="10.625" style="329" customWidth="1"/>
    <col min="8458" max="8500" width="9" style="329"/>
    <col min="8501" max="8501" width="14" style="329" bestFit="1" customWidth="1"/>
    <col min="8502" max="8704" width="9" style="329"/>
    <col min="8705" max="8705" width="9.5" style="329" bestFit="1" customWidth="1"/>
    <col min="8706" max="8706" width="24.625" style="329" customWidth="1"/>
    <col min="8707" max="8707" width="13.5" style="329" bestFit="1" customWidth="1"/>
    <col min="8708" max="8708" width="11" style="329" customWidth="1"/>
    <col min="8709" max="8711" width="9" style="329"/>
    <col min="8712" max="8712" width="11.25" style="329" customWidth="1"/>
    <col min="8713" max="8713" width="10.625" style="329" customWidth="1"/>
    <col min="8714" max="8756" width="9" style="329"/>
    <col min="8757" max="8757" width="14" style="329" bestFit="1" customWidth="1"/>
    <col min="8758" max="8960" width="9" style="329"/>
    <col min="8961" max="8961" width="9.5" style="329" bestFit="1" customWidth="1"/>
    <col min="8962" max="8962" width="24.625" style="329" customWidth="1"/>
    <col min="8963" max="8963" width="13.5" style="329" bestFit="1" customWidth="1"/>
    <col min="8964" max="8964" width="11" style="329" customWidth="1"/>
    <col min="8965" max="8967" width="9" style="329"/>
    <col min="8968" max="8968" width="11.25" style="329" customWidth="1"/>
    <col min="8969" max="8969" width="10.625" style="329" customWidth="1"/>
    <col min="8970" max="9012" width="9" style="329"/>
    <col min="9013" max="9013" width="14" style="329" bestFit="1" customWidth="1"/>
    <col min="9014" max="9216" width="9" style="329"/>
    <col min="9217" max="9217" width="9.5" style="329" bestFit="1" customWidth="1"/>
    <col min="9218" max="9218" width="24.625" style="329" customWidth="1"/>
    <col min="9219" max="9219" width="13.5" style="329" bestFit="1" customWidth="1"/>
    <col min="9220" max="9220" width="11" style="329" customWidth="1"/>
    <col min="9221" max="9223" width="9" style="329"/>
    <col min="9224" max="9224" width="11.25" style="329" customWidth="1"/>
    <col min="9225" max="9225" width="10.625" style="329" customWidth="1"/>
    <col min="9226" max="9268" width="9" style="329"/>
    <col min="9269" max="9269" width="14" style="329" bestFit="1" customWidth="1"/>
    <col min="9270" max="9472" width="9" style="329"/>
    <col min="9473" max="9473" width="9.5" style="329" bestFit="1" customWidth="1"/>
    <col min="9474" max="9474" width="24.625" style="329" customWidth="1"/>
    <col min="9475" max="9475" width="13.5" style="329" bestFit="1" customWidth="1"/>
    <col min="9476" max="9476" width="11" style="329" customWidth="1"/>
    <col min="9477" max="9479" width="9" style="329"/>
    <col min="9480" max="9480" width="11.25" style="329" customWidth="1"/>
    <col min="9481" max="9481" width="10.625" style="329" customWidth="1"/>
    <col min="9482" max="9524" width="9" style="329"/>
    <col min="9525" max="9525" width="14" style="329" bestFit="1" customWidth="1"/>
    <col min="9526" max="9728" width="9" style="329"/>
    <col min="9729" max="9729" width="9.5" style="329" bestFit="1" customWidth="1"/>
    <col min="9730" max="9730" width="24.625" style="329" customWidth="1"/>
    <col min="9731" max="9731" width="13.5" style="329" bestFit="1" customWidth="1"/>
    <col min="9732" max="9732" width="11" style="329" customWidth="1"/>
    <col min="9733" max="9735" width="9" style="329"/>
    <col min="9736" max="9736" width="11.25" style="329" customWidth="1"/>
    <col min="9737" max="9737" width="10.625" style="329" customWidth="1"/>
    <col min="9738" max="9780" width="9" style="329"/>
    <col min="9781" max="9781" width="14" style="329" bestFit="1" customWidth="1"/>
    <col min="9782" max="9984" width="9" style="329"/>
    <col min="9985" max="9985" width="9.5" style="329" bestFit="1" customWidth="1"/>
    <col min="9986" max="9986" width="24.625" style="329" customWidth="1"/>
    <col min="9987" max="9987" width="13.5" style="329" bestFit="1" customWidth="1"/>
    <col min="9988" max="9988" width="11" style="329" customWidth="1"/>
    <col min="9989" max="9991" width="9" style="329"/>
    <col min="9992" max="9992" width="11.25" style="329" customWidth="1"/>
    <col min="9993" max="9993" width="10.625" style="329" customWidth="1"/>
    <col min="9994" max="10036" width="9" style="329"/>
    <col min="10037" max="10037" width="14" style="329" bestFit="1" customWidth="1"/>
    <col min="10038" max="10240" width="9" style="329"/>
    <col min="10241" max="10241" width="9.5" style="329" bestFit="1" customWidth="1"/>
    <col min="10242" max="10242" width="24.625" style="329" customWidth="1"/>
    <col min="10243" max="10243" width="13.5" style="329" bestFit="1" customWidth="1"/>
    <col min="10244" max="10244" width="11" style="329" customWidth="1"/>
    <col min="10245" max="10247" width="9" style="329"/>
    <col min="10248" max="10248" width="11.25" style="329" customWidth="1"/>
    <col min="10249" max="10249" width="10.625" style="329" customWidth="1"/>
    <col min="10250" max="10292" width="9" style="329"/>
    <col min="10293" max="10293" width="14" style="329" bestFit="1" customWidth="1"/>
    <col min="10294" max="10496" width="9" style="329"/>
    <col min="10497" max="10497" width="9.5" style="329" bestFit="1" customWidth="1"/>
    <col min="10498" max="10498" width="24.625" style="329" customWidth="1"/>
    <col min="10499" max="10499" width="13.5" style="329" bestFit="1" customWidth="1"/>
    <col min="10500" max="10500" width="11" style="329" customWidth="1"/>
    <col min="10501" max="10503" width="9" style="329"/>
    <col min="10504" max="10504" width="11.25" style="329" customWidth="1"/>
    <col min="10505" max="10505" width="10.625" style="329" customWidth="1"/>
    <col min="10506" max="10548" width="9" style="329"/>
    <col min="10549" max="10549" width="14" style="329" bestFit="1" customWidth="1"/>
    <col min="10550" max="10752" width="9" style="329"/>
    <col min="10753" max="10753" width="9.5" style="329" bestFit="1" customWidth="1"/>
    <col min="10754" max="10754" width="24.625" style="329" customWidth="1"/>
    <col min="10755" max="10755" width="13.5" style="329" bestFit="1" customWidth="1"/>
    <col min="10756" max="10756" width="11" style="329" customWidth="1"/>
    <col min="10757" max="10759" width="9" style="329"/>
    <col min="10760" max="10760" width="11.25" style="329" customWidth="1"/>
    <col min="10761" max="10761" width="10.625" style="329" customWidth="1"/>
    <col min="10762" max="10804" width="9" style="329"/>
    <col min="10805" max="10805" width="14" style="329" bestFit="1" customWidth="1"/>
    <col min="10806" max="11008" width="9" style="329"/>
    <col min="11009" max="11009" width="9.5" style="329" bestFit="1" customWidth="1"/>
    <col min="11010" max="11010" width="24.625" style="329" customWidth="1"/>
    <col min="11011" max="11011" width="13.5" style="329" bestFit="1" customWidth="1"/>
    <col min="11012" max="11012" width="11" style="329" customWidth="1"/>
    <col min="11013" max="11015" width="9" style="329"/>
    <col min="11016" max="11016" width="11.25" style="329" customWidth="1"/>
    <col min="11017" max="11017" width="10.625" style="329" customWidth="1"/>
    <col min="11018" max="11060" width="9" style="329"/>
    <col min="11061" max="11061" width="14" style="329" bestFit="1" customWidth="1"/>
    <col min="11062" max="11264" width="9" style="329"/>
    <col min="11265" max="11265" width="9.5" style="329" bestFit="1" customWidth="1"/>
    <col min="11266" max="11266" width="24.625" style="329" customWidth="1"/>
    <col min="11267" max="11267" width="13.5" style="329" bestFit="1" customWidth="1"/>
    <col min="11268" max="11268" width="11" style="329" customWidth="1"/>
    <col min="11269" max="11271" width="9" style="329"/>
    <col min="11272" max="11272" width="11.25" style="329" customWidth="1"/>
    <col min="11273" max="11273" width="10.625" style="329" customWidth="1"/>
    <col min="11274" max="11316" width="9" style="329"/>
    <col min="11317" max="11317" width="14" style="329" bestFit="1" customWidth="1"/>
    <col min="11318" max="11520" width="9" style="329"/>
    <col min="11521" max="11521" width="9.5" style="329" bestFit="1" customWidth="1"/>
    <col min="11522" max="11522" width="24.625" style="329" customWidth="1"/>
    <col min="11523" max="11523" width="13.5" style="329" bestFit="1" customWidth="1"/>
    <col min="11524" max="11524" width="11" style="329" customWidth="1"/>
    <col min="11525" max="11527" width="9" style="329"/>
    <col min="11528" max="11528" width="11.25" style="329" customWidth="1"/>
    <col min="11529" max="11529" width="10.625" style="329" customWidth="1"/>
    <col min="11530" max="11572" width="9" style="329"/>
    <col min="11573" max="11573" width="14" style="329" bestFit="1" customWidth="1"/>
    <col min="11574" max="11776" width="9" style="329"/>
    <col min="11777" max="11777" width="9.5" style="329" bestFit="1" customWidth="1"/>
    <col min="11778" max="11778" width="24.625" style="329" customWidth="1"/>
    <col min="11779" max="11779" width="13.5" style="329" bestFit="1" customWidth="1"/>
    <col min="11780" max="11780" width="11" style="329" customWidth="1"/>
    <col min="11781" max="11783" width="9" style="329"/>
    <col min="11784" max="11784" width="11.25" style="329" customWidth="1"/>
    <col min="11785" max="11785" width="10.625" style="329" customWidth="1"/>
    <col min="11786" max="11828" width="9" style="329"/>
    <col min="11829" max="11829" width="14" style="329" bestFit="1" customWidth="1"/>
    <col min="11830" max="12032" width="9" style="329"/>
    <col min="12033" max="12033" width="9.5" style="329" bestFit="1" customWidth="1"/>
    <col min="12034" max="12034" width="24.625" style="329" customWidth="1"/>
    <col min="12035" max="12035" width="13.5" style="329" bestFit="1" customWidth="1"/>
    <col min="12036" max="12036" width="11" style="329" customWidth="1"/>
    <col min="12037" max="12039" width="9" style="329"/>
    <col min="12040" max="12040" width="11.25" style="329" customWidth="1"/>
    <col min="12041" max="12041" width="10.625" style="329" customWidth="1"/>
    <col min="12042" max="12084" width="9" style="329"/>
    <col min="12085" max="12085" width="14" style="329" bestFit="1" customWidth="1"/>
    <col min="12086" max="12288" width="9" style="329"/>
    <col min="12289" max="12289" width="9.5" style="329" bestFit="1" customWidth="1"/>
    <col min="12290" max="12290" width="24.625" style="329" customWidth="1"/>
    <col min="12291" max="12291" width="13.5" style="329" bestFit="1" customWidth="1"/>
    <col min="12292" max="12292" width="11" style="329" customWidth="1"/>
    <col min="12293" max="12295" width="9" style="329"/>
    <col min="12296" max="12296" width="11.25" style="329" customWidth="1"/>
    <col min="12297" max="12297" width="10.625" style="329" customWidth="1"/>
    <col min="12298" max="12340" width="9" style="329"/>
    <col min="12341" max="12341" width="14" style="329" bestFit="1" customWidth="1"/>
    <col min="12342" max="12544" width="9" style="329"/>
    <col min="12545" max="12545" width="9.5" style="329" bestFit="1" customWidth="1"/>
    <col min="12546" max="12546" width="24.625" style="329" customWidth="1"/>
    <col min="12547" max="12547" width="13.5" style="329" bestFit="1" customWidth="1"/>
    <col min="12548" max="12548" width="11" style="329" customWidth="1"/>
    <col min="12549" max="12551" width="9" style="329"/>
    <col min="12552" max="12552" width="11.25" style="329" customWidth="1"/>
    <col min="12553" max="12553" width="10.625" style="329" customWidth="1"/>
    <col min="12554" max="12596" width="9" style="329"/>
    <col min="12597" max="12597" width="14" style="329" bestFit="1" customWidth="1"/>
    <col min="12598" max="12800" width="9" style="329"/>
    <col min="12801" max="12801" width="9.5" style="329" bestFit="1" customWidth="1"/>
    <col min="12802" max="12802" width="24.625" style="329" customWidth="1"/>
    <col min="12803" max="12803" width="13.5" style="329" bestFit="1" customWidth="1"/>
    <col min="12804" max="12804" width="11" style="329" customWidth="1"/>
    <col min="12805" max="12807" width="9" style="329"/>
    <col min="12808" max="12808" width="11.25" style="329" customWidth="1"/>
    <col min="12809" max="12809" width="10.625" style="329" customWidth="1"/>
    <col min="12810" max="12852" width="9" style="329"/>
    <col min="12853" max="12853" width="14" style="329" bestFit="1" customWidth="1"/>
    <col min="12854" max="13056" width="9" style="329"/>
    <col min="13057" max="13057" width="9.5" style="329" bestFit="1" customWidth="1"/>
    <col min="13058" max="13058" width="24.625" style="329" customWidth="1"/>
    <col min="13059" max="13059" width="13.5" style="329" bestFit="1" customWidth="1"/>
    <col min="13060" max="13060" width="11" style="329" customWidth="1"/>
    <col min="13061" max="13063" width="9" style="329"/>
    <col min="13064" max="13064" width="11.25" style="329" customWidth="1"/>
    <col min="13065" max="13065" width="10.625" style="329" customWidth="1"/>
    <col min="13066" max="13108" width="9" style="329"/>
    <col min="13109" max="13109" width="14" style="329" bestFit="1" customWidth="1"/>
    <col min="13110" max="13312" width="9" style="329"/>
    <col min="13313" max="13313" width="9.5" style="329" bestFit="1" customWidth="1"/>
    <col min="13314" max="13314" width="24.625" style="329" customWidth="1"/>
    <col min="13315" max="13315" width="13.5" style="329" bestFit="1" customWidth="1"/>
    <col min="13316" max="13316" width="11" style="329" customWidth="1"/>
    <col min="13317" max="13319" width="9" style="329"/>
    <col min="13320" max="13320" width="11.25" style="329" customWidth="1"/>
    <col min="13321" max="13321" width="10.625" style="329" customWidth="1"/>
    <col min="13322" max="13364" width="9" style="329"/>
    <col min="13365" max="13365" width="14" style="329" bestFit="1" customWidth="1"/>
    <col min="13366" max="13568" width="9" style="329"/>
    <col min="13569" max="13569" width="9.5" style="329" bestFit="1" customWidth="1"/>
    <col min="13570" max="13570" width="24.625" style="329" customWidth="1"/>
    <col min="13571" max="13571" width="13.5" style="329" bestFit="1" customWidth="1"/>
    <col min="13572" max="13572" width="11" style="329" customWidth="1"/>
    <col min="13573" max="13575" width="9" style="329"/>
    <col min="13576" max="13576" width="11.25" style="329" customWidth="1"/>
    <col min="13577" max="13577" width="10.625" style="329" customWidth="1"/>
    <col min="13578" max="13620" width="9" style="329"/>
    <col min="13621" max="13621" width="14" style="329" bestFit="1" customWidth="1"/>
    <col min="13622" max="13824" width="9" style="329"/>
    <col min="13825" max="13825" width="9.5" style="329" bestFit="1" customWidth="1"/>
    <col min="13826" max="13826" width="24.625" style="329" customWidth="1"/>
    <col min="13827" max="13827" width="13.5" style="329" bestFit="1" customWidth="1"/>
    <col min="13828" max="13828" width="11" style="329" customWidth="1"/>
    <col min="13829" max="13831" width="9" style="329"/>
    <col min="13832" max="13832" width="11.25" style="329" customWidth="1"/>
    <col min="13833" max="13833" width="10.625" style="329" customWidth="1"/>
    <col min="13834" max="13876" width="9" style="329"/>
    <col min="13877" max="13877" width="14" style="329" bestFit="1" customWidth="1"/>
    <col min="13878" max="14080" width="9" style="329"/>
    <col min="14081" max="14081" width="9.5" style="329" bestFit="1" customWidth="1"/>
    <col min="14082" max="14082" width="24.625" style="329" customWidth="1"/>
    <col min="14083" max="14083" width="13.5" style="329" bestFit="1" customWidth="1"/>
    <col min="14084" max="14084" width="11" style="329" customWidth="1"/>
    <col min="14085" max="14087" width="9" style="329"/>
    <col min="14088" max="14088" width="11.25" style="329" customWidth="1"/>
    <col min="14089" max="14089" width="10.625" style="329" customWidth="1"/>
    <col min="14090" max="14132" width="9" style="329"/>
    <col min="14133" max="14133" width="14" style="329" bestFit="1" customWidth="1"/>
    <col min="14134" max="14336" width="9" style="329"/>
    <col min="14337" max="14337" width="9.5" style="329" bestFit="1" customWidth="1"/>
    <col min="14338" max="14338" width="24.625" style="329" customWidth="1"/>
    <col min="14339" max="14339" width="13.5" style="329" bestFit="1" customWidth="1"/>
    <col min="14340" max="14340" width="11" style="329" customWidth="1"/>
    <col min="14341" max="14343" width="9" style="329"/>
    <col min="14344" max="14344" width="11.25" style="329" customWidth="1"/>
    <col min="14345" max="14345" width="10.625" style="329" customWidth="1"/>
    <col min="14346" max="14388" width="9" style="329"/>
    <col min="14389" max="14389" width="14" style="329" bestFit="1" customWidth="1"/>
    <col min="14390" max="14592" width="9" style="329"/>
    <col min="14593" max="14593" width="9.5" style="329" bestFit="1" customWidth="1"/>
    <col min="14594" max="14594" width="24.625" style="329" customWidth="1"/>
    <col min="14595" max="14595" width="13.5" style="329" bestFit="1" customWidth="1"/>
    <col min="14596" max="14596" width="11" style="329" customWidth="1"/>
    <col min="14597" max="14599" width="9" style="329"/>
    <col min="14600" max="14600" width="11.25" style="329" customWidth="1"/>
    <col min="14601" max="14601" width="10.625" style="329" customWidth="1"/>
    <col min="14602" max="14644" width="9" style="329"/>
    <col min="14645" max="14645" width="14" style="329" bestFit="1" customWidth="1"/>
    <col min="14646" max="14848" width="9" style="329"/>
    <col min="14849" max="14849" width="9.5" style="329" bestFit="1" customWidth="1"/>
    <col min="14850" max="14850" width="24.625" style="329" customWidth="1"/>
    <col min="14851" max="14851" width="13.5" style="329" bestFit="1" customWidth="1"/>
    <col min="14852" max="14852" width="11" style="329" customWidth="1"/>
    <col min="14853" max="14855" width="9" style="329"/>
    <col min="14856" max="14856" width="11.25" style="329" customWidth="1"/>
    <col min="14857" max="14857" width="10.625" style="329" customWidth="1"/>
    <col min="14858" max="14900" width="9" style="329"/>
    <col min="14901" max="14901" width="14" style="329" bestFit="1" customWidth="1"/>
    <col min="14902" max="15104" width="9" style="329"/>
    <col min="15105" max="15105" width="9.5" style="329" bestFit="1" customWidth="1"/>
    <col min="15106" max="15106" width="24.625" style="329" customWidth="1"/>
    <col min="15107" max="15107" width="13.5" style="329" bestFit="1" customWidth="1"/>
    <col min="15108" max="15108" width="11" style="329" customWidth="1"/>
    <col min="15109" max="15111" width="9" style="329"/>
    <col min="15112" max="15112" width="11.25" style="329" customWidth="1"/>
    <col min="15113" max="15113" width="10.625" style="329" customWidth="1"/>
    <col min="15114" max="15156" width="9" style="329"/>
    <col min="15157" max="15157" width="14" style="329" bestFit="1" customWidth="1"/>
    <col min="15158" max="15360" width="9" style="329"/>
    <col min="15361" max="15361" width="9.5" style="329" bestFit="1" customWidth="1"/>
    <col min="15362" max="15362" width="24.625" style="329" customWidth="1"/>
    <col min="15363" max="15363" width="13.5" style="329" bestFit="1" customWidth="1"/>
    <col min="15364" max="15364" width="11" style="329" customWidth="1"/>
    <col min="15365" max="15367" width="9" style="329"/>
    <col min="15368" max="15368" width="11.25" style="329" customWidth="1"/>
    <col min="15369" max="15369" width="10.625" style="329" customWidth="1"/>
    <col min="15370" max="15412" width="9" style="329"/>
    <col min="15413" max="15413" width="14" style="329" bestFit="1" customWidth="1"/>
    <col min="15414" max="15616" width="9" style="329"/>
    <col min="15617" max="15617" width="9.5" style="329" bestFit="1" customWidth="1"/>
    <col min="15618" max="15618" width="24.625" style="329" customWidth="1"/>
    <col min="15619" max="15619" width="13.5" style="329" bestFit="1" customWidth="1"/>
    <col min="15620" max="15620" width="11" style="329" customWidth="1"/>
    <col min="15621" max="15623" width="9" style="329"/>
    <col min="15624" max="15624" width="11.25" style="329" customWidth="1"/>
    <col min="15625" max="15625" width="10.625" style="329" customWidth="1"/>
    <col min="15626" max="15668" width="9" style="329"/>
    <col min="15669" max="15669" width="14" style="329" bestFit="1" customWidth="1"/>
    <col min="15670" max="15872" width="9" style="329"/>
    <col min="15873" max="15873" width="9.5" style="329" bestFit="1" customWidth="1"/>
    <col min="15874" max="15874" width="24.625" style="329" customWidth="1"/>
    <col min="15875" max="15875" width="13.5" style="329" bestFit="1" customWidth="1"/>
    <col min="15876" max="15876" width="11" style="329" customWidth="1"/>
    <col min="15877" max="15879" width="9" style="329"/>
    <col min="15880" max="15880" width="11.25" style="329" customWidth="1"/>
    <col min="15881" max="15881" width="10.625" style="329" customWidth="1"/>
    <col min="15882" max="15924" width="9" style="329"/>
    <col min="15925" max="15925" width="14" style="329" bestFit="1" customWidth="1"/>
    <col min="15926" max="16128" width="9" style="329"/>
    <col min="16129" max="16129" width="9.5" style="329" bestFit="1" customWidth="1"/>
    <col min="16130" max="16130" width="24.625" style="329" customWidth="1"/>
    <col min="16131" max="16131" width="13.5" style="329" bestFit="1" customWidth="1"/>
    <col min="16132" max="16132" width="11" style="329" customWidth="1"/>
    <col min="16133" max="16135" width="9" style="329"/>
    <col min="16136" max="16136" width="11.25" style="329" customWidth="1"/>
    <col min="16137" max="16137" width="10.625" style="329" customWidth="1"/>
    <col min="16138" max="16180" width="9" style="329"/>
    <col min="16181" max="16181" width="14" style="329" bestFit="1" customWidth="1"/>
    <col min="16182" max="16384" width="9" style="329"/>
  </cols>
  <sheetData>
    <row r="1" spans="1:78">
      <c r="A1" s="329" t="s">
        <v>286</v>
      </c>
      <c r="B1" s="330" t="s">
        <v>287</v>
      </c>
      <c r="BD1" s="329" t="s">
        <v>288</v>
      </c>
    </row>
    <row r="2" spans="1:78" s="331" customFormat="1">
      <c r="A2" s="331" t="s">
        <v>289</v>
      </c>
      <c r="B2" s="331" t="s">
        <v>290</v>
      </c>
      <c r="C2" s="331" t="s">
        <v>291</v>
      </c>
      <c r="D2" s="331" t="s">
        <v>292</v>
      </c>
      <c r="E2" s="331" t="s">
        <v>293</v>
      </c>
      <c r="F2" s="331" t="s">
        <v>294</v>
      </c>
      <c r="G2" s="331" t="s">
        <v>295</v>
      </c>
      <c r="H2" s="331" t="s">
        <v>296</v>
      </c>
      <c r="I2" s="331" t="s">
        <v>297</v>
      </c>
      <c r="J2" s="331" t="s">
        <v>298</v>
      </c>
      <c r="K2" s="331" t="s">
        <v>299</v>
      </c>
      <c r="L2" s="331" t="s">
        <v>300</v>
      </c>
      <c r="M2" s="331" t="s">
        <v>301</v>
      </c>
      <c r="N2" s="331" t="s">
        <v>302</v>
      </c>
      <c r="O2" s="331" t="s">
        <v>303</v>
      </c>
      <c r="P2" s="331" t="s">
        <v>304</v>
      </c>
      <c r="Q2" s="331" t="s">
        <v>305</v>
      </c>
      <c r="R2" s="331" t="s">
        <v>306</v>
      </c>
      <c r="S2" s="331" t="s">
        <v>307</v>
      </c>
      <c r="T2" s="331" t="s">
        <v>308</v>
      </c>
      <c r="U2" s="331" t="s">
        <v>309</v>
      </c>
      <c r="V2" s="331" t="s">
        <v>310</v>
      </c>
      <c r="W2" s="331" t="s">
        <v>311</v>
      </c>
      <c r="X2" s="331" t="s">
        <v>312</v>
      </c>
      <c r="Y2" s="331" t="s">
        <v>313</v>
      </c>
      <c r="Z2" s="331" t="s">
        <v>314</v>
      </c>
      <c r="AA2" s="331" t="s">
        <v>315</v>
      </c>
      <c r="AB2" s="331" t="s">
        <v>316</v>
      </c>
      <c r="AC2" s="331" t="s">
        <v>317</v>
      </c>
      <c r="AD2" s="331" t="s">
        <v>318</v>
      </c>
      <c r="AE2" s="331" t="s">
        <v>319</v>
      </c>
      <c r="AF2" s="331" t="s">
        <v>320</v>
      </c>
      <c r="AG2" s="331" t="s">
        <v>321</v>
      </c>
      <c r="AH2" s="331" t="s">
        <v>322</v>
      </c>
      <c r="AI2" s="331" t="s">
        <v>323</v>
      </c>
      <c r="AJ2" s="331" t="s">
        <v>324</v>
      </c>
      <c r="AK2" s="331" t="s">
        <v>325</v>
      </c>
      <c r="AL2" s="331" t="s">
        <v>326</v>
      </c>
      <c r="AM2" s="331" t="s">
        <v>327</v>
      </c>
      <c r="AN2" s="331" t="s">
        <v>328</v>
      </c>
      <c r="AO2" s="331" t="s">
        <v>329</v>
      </c>
      <c r="AP2" s="331" t="s">
        <v>330</v>
      </c>
      <c r="AQ2" s="331" t="s">
        <v>331</v>
      </c>
      <c r="AR2" s="331" t="s">
        <v>332</v>
      </c>
      <c r="AS2" s="331" t="s">
        <v>333</v>
      </c>
      <c r="AT2" s="331" t="s">
        <v>334</v>
      </c>
      <c r="AU2" s="331" t="s">
        <v>335</v>
      </c>
      <c r="AV2" s="331" t="s">
        <v>336</v>
      </c>
      <c r="AW2" s="331" t="s">
        <v>337</v>
      </c>
      <c r="AX2" s="331" t="s">
        <v>338</v>
      </c>
      <c r="AY2" s="331" t="s">
        <v>339</v>
      </c>
      <c r="AZ2" s="331" t="s">
        <v>340</v>
      </c>
      <c r="BA2" s="331" t="s">
        <v>341</v>
      </c>
      <c r="BB2" s="331" t="s">
        <v>342</v>
      </c>
      <c r="BC2" s="331" t="s">
        <v>343</v>
      </c>
      <c r="BD2" s="331" t="s">
        <v>344</v>
      </c>
      <c r="BE2" s="331" t="s">
        <v>345</v>
      </c>
      <c r="BF2" s="331" t="s">
        <v>346</v>
      </c>
      <c r="BG2" s="331" t="s">
        <v>347</v>
      </c>
      <c r="BH2" s="331" t="s">
        <v>348</v>
      </c>
      <c r="BI2" s="331" t="s">
        <v>349</v>
      </c>
      <c r="BJ2" s="331" t="s">
        <v>350</v>
      </c>
      <c r="BK2" s="331" t="s">
        <v>351</v>
      </c>
      <c r="BL2" s="331" t="s">
        <v>352</v>
      </c>
      <c r="BM2" s="331" t="s">
        <v>353</v>
      </c>
      <c r="BN2" s="331" t="s">
        <v>354</v>
      </c>
      <c r="BO2" s="331" t="s">
        <v>355</v>
      </c>
      <c r="BP2" s="331" t="s">
        <v>356</v>
      </c>
      <c r="BQ2" s="331" t="s">
        <v>357</v>
      </c>
      <c r="BR2" s="331" t="s">
        <v>358</v>
      </c>
      <c r="BS2" s="331" t="s">
        <v>359</v>
      </c>
      <c r="BT2" s="331" t="s">
        <v>360</v>
      </c>
      <c r="BU2" s="331" t="s">
        <v>361</v>
      </c>
      <c r="BV2" s="331" t="s">
        <v>362</v>
      </c>
      <c r="BW2" s="331" t="s">
        <v>363</v>
      </c>
      <c r="BX2" s="331" t="s">
        <v>364</v>
      </c>
      <c r="BY2" s="331" t="s">
        <v>365</v>
      </c>
      <c r="BZ2" s="331" t="s">
        <v>366</v>
      </c>
    </row>
    <row r="3" spans="1:78" s="332" customFormat="1">
      <c r="A3" s="332">
        <v>1</v>
      </c>
      <c r="B3" s="333">
        <v>43250.944641203707</v>
      </c>
      <c r="C3" s="332">
        <v>0</v>
      </c>
      <c r="D3" s="332">
        <v>136.77803725551601</v>
      </c>
      <c r="E3" s="334">
        <v>2.3695546050083298E-6</v>
      </c>
      <c r="F3" s="332">
        <v>762.31824426540004</v>
      </c>
      <c r="G3" s="332">
        <v>140.39712801360901</v>
      </c>
      <c r="H3" s="332">
        <v>32.472999999999999</v>
      </c>
      <c r="I3" s="332">
        <v>30.001000000000001</v>
      </c>
      <c r="J3" s="332">
        <v>0.97422247299999998</v>
      </c>
      <c r="K3" s="332" t="s">
        <v>367</v>
      </c>
      <c r="L3" s="332" t="s">
        <v>368</v>
      </c>
      <c r="M3" s="332" t="s">
        <v>368</v>
      </c>
      <c r="N3" s="332" t="s">
        <v>368</v>
      </c>
      <c r="O3" s="332" t="s">
        <v>368</v>
      </c>
      <c r="P3" s="332">
        <v>148.173045824225</v>
      </c>
      <c r="Q3" s="332">
        <v>136.77803725551601</v>
      </c>
      <c r="R3" s="332">
        <v>52.779667166648203</v>
      </c>
      <c r="S3" s="332">
        <v>0.43873128436225101</v>
      </c>
      <c r="T3" s="332">
        <v>0.40499136414356901</v>
      </c>
      <c r="U3" s="332">
        <v>0.25133430369194298</v>
      </c>
      <c r="V3" s="332">
        <v>0.34800876801925301</v>
      </c>
      <c r="W3" s="332">
        <v>0.25133430369194298</v>
      </c>
      <c r="X3" s="332">
        <v>0.52201315202887899</v>
      </c>
      <c r="Y3" s="332">
        <v>582.90348057254505</v>
      </c>
      <c r="Z3" s="332">
        <v>53.260249207572599</v>
      </c>
      <c r="AA3" s="332">
        <v>2977.1842246767501</v>
      </c>
      <c r="AB3" s="332">
        <v>0.11982177084918801</v>
      </c>
      <c r="AC3" s="332">
        <v>95.984735951160701</v>
      </c>
      <c r="AD3" s="332">
        <v>97.086586936945096</v>
      </c>
      <c r="AE3" s="332">
        <v>97.996321170873102</v>
      </c>
      <c r="AF3" s="332">
        <v>98.510333900136004</v>
      </c>
      <c r="AG3" s="332">
        <v>97.222457205277706</v>
      </c>
      <c r="AH3" s="332">
        <v>97.414009545559907</v>
      </c>
      <c r="AI3" s="332">
        <v>97.967587199742397</v>
      </c>
      <c r="AJ3" s="332">
        <v>94.343517730212696</v>
      </c>
      <c r="AK3" s="332">
        <v>87.337073920538501</v>
      </c>
      <c r="AL3" s="332">
        <v>70.513659058914499</v>
      </c>
      <c r="AM3" s="332">
        <v>95.531870192877605</v>
      </c>
      <c r="AN3" s="332">
        <v>95.797298542605702</v>
      </c>
      <c r="AO3" s="332">
        <v>92.079716146207602</v>
      </c>
      <c r="AP3" s="332">
        <v>97.451301800585497</v>
      </c>
      <c r="AQ3" s="332">
        <v>98.491367077948297</v>
      </c>
      <c r="AR3" s="332">
        <v>92.786813379023201</v>
      </c>
      <c r="AS3" s="332">
        <v>0.47721044081945102</v>
      </c>
      <c r="AT3" s="332">
        <v>623.40891712334496</v>
      </c>
      <c r="AU3" s="332">
        <v>448.06609220673801</v>
      </c>
      <c r="AV3" s="332">
        <v>514.53693320457398</v>
      </c>
      <c r="AW3" s="332" t="s">
        <v>368</v>
      </c>
      <c r="AX3" s="332" t="s">
        <v>368</v>
      </c>
      <c r="AY3" s="332">
        <v>624.50535088761899</v>
      </c>
      <c r="AZ3" s="332">
        <v>447.73490466016699</v>
      </c>
      <c r="BA3" s="332">
        <v>515.366834739826</v>
      </c>
      <c r="BB3" s="332" t="s">
        <v>368</v>
      </c>
      <c r="BC3" s="332" t="s">
        <v>368</v>
      </c>
      <c r="BD3" s="332" t="s">
        <v>369</v>
      </c>
      <c r="BE3" s="332" t="s">
        <v>370</v>
      </c>
      <c r="BF3" s="332" t="s">
        <v>371</v>
      </c>
      <c r="BG3" s="332" t="s">
        <v>372</v>
      </c>
      <c r="BH3" s="332" t="s">
        <v>373</v>
      </c>
      <c r="BI3" s="332">
        <v>30</v>
      </c>
      <c r="BJ3" s="332">
        <v>45</v>
      </c>
      <c r="BK3" s="332" t="s">
        <v>374</v>
      </c>
      <c r="BL3" s="332" t="b">
        <v>0</v>
      </c>
      <c r="BM3" s="332" t="s">
        <v>375</v>
      </c>
      <c r="BN3" s="332" t="s">
        <v>376</v>
      </c>
      <c r="BO3" s="332">
        <v>0.87876114180294196</v>
      </c>
      <c r="BP3" s="332">
        <v>1</v>
      </c>
      <c r="BQ3" s="332">
        <v>234</v>
      </c>
      <c r="BR3" s="332" t="s">
        <v>377</v>
      </c>
      <c r="BS3" s="332" t="s">
        <v>378</v>
      </c>
      <c r="BT3" s="332">
        <v>2</v>
      </c>
      <c r="BU3" s="332">
        <v>20</v>
      </c>
    </row>
    <row r="4" spans="1:78" s="332" customFormat="1">
      <c r="A4" s="332">
        <v>2</v>
      </c>
      <c r="B4" s="333">
        <v>43250.944953703707</v>
      </c>
      <c r="C4" s="332">
        <v>26.625</v>
      </c>
      <c r="D4" s="332">
        <v>267.30622472612998</v>
      </c>
      <c r="E4" s="334">
        <v>4.6123818114197204E-6</v>
      </c>
      <c r="F4" s="332">
        <v>742.00747065574797</v>
      </c>
      <c r="G4" s="332">
        <v>133.064563275502</v>
      </c>
      <c r="H4" s="332">
        <v>33.482999999999997</v>
      </c>
      <c r="I4" s="332">
        <v>59.996000000000002</v>
      </c>
      <c r="J4" s="332">
        <v>2.008846068</v>
      </c>
      <c r="K4" s="332" t="s">
        <v>367</v>
      </c>
      <c r="L4" s="332" t="s">
        <v>368</v>
      </c>
      <c r="M4" s="332" t="s">
        <v>368</v>
      </c>
      <c r="N4" s="332" t="s">
        <v>368</v>
      </c>
      <c r="O4" s="332" t="s">
        <v>368</v>
      </c>
      <c r="P4" s="332">
        <v>288.82922502700302</v>
      </c>
      <c r="Q4" s="332">
        <v>267.30622472612998</v>
      </c>
      <c r="R4" s="332">
        <v>103.471938012207</v>
      </c>
      <c r="S4" s="332">
        <v>0.43788051859988603</v>
      </c>
      <c r="T4" s="332">
        <v>0.40525050156234099</v>
      </c>
      <c r="U4" s="332">
        <v>0.25067420407111901</v>
      </c>
      <c r="V4" s="332">
        <v>0.34799166421029698</v>
      </c>
      <c r="W4" s="332">
        <v>0.25067420407111901</v>
      </c>
      <c r="X4" s="332">
        <v>0.52198749631544605</v>
      </c>
      <c r="Y4" s="332">
        <v>582.757682040502</v>
      </c>
      <c r="Z4" s="332">
        <v>53.083015841339503</v>
      </c>
      <c r="AA4" s="332">
        <v>2993.4524188018199</v>
      </c>
      <c r="AB4" s="332">
        <v>0.33666520848825898</v>
      </c>
      <c r="AC4" s="332">
        <v>95.644584290630704</v>
      </c>
      <c r="AD4" s="332">
        <v>96.601997798248505</v>
      </c>
      <c r="AE4" s="332">
        <v>97.558941011927203</v>
      </c>
      <c r="AF4" s="332">
        <v>98.212827375348994</v>
      </c>
      <c r="AG4" s="332">
        <v>96.922369666854195</v>
      </c>
      <c r="AH4" s="332">
        <v>96.874397187422204</v>
      </c>
      <c r="AI4" s="332">
        <v>97.9455209094629</v>
      </c>
      <c r="AJ4" s="332">
        <v>94.237800047367102</v>
      </c>
      <c r="AK4" s="332">
        <v>86.802820328414299</v>
      </c>
      <c r="AL4" s="332">
        <v>69.010589568423299</v>
      </c>
      <c r="AM4" s="332">
        <v>94.555465597444595</v>
      </c>
      <c r="AN4" s="332">
        <v>96.053479801902796</v>
      </c>
      <c r="AO4" s="332">
        <v>92.039039976095594</v>
      </c>
      <c r="AP4" s="332">
        <v>96.919705081182002</v>
      </c>
      <c r="AQ4" s="332">
        <v>98.348306911366393</v>
      </c>
      <c r="AR4" s="332">
        <v>92.220827792355806</v>
      </c>
      <c r="AS4" s="332">
        <v>0.93014430576406704</v>
      </c>
      <c r="AT4" s="332">
        <v>623.11000140586805</v>
      </c>
      <c r="AU4" s="332">
        <v>448.554204897847</v>
      </c>
      <c r="AV4" s="332">
        <v>382.73277326178197</v>
      </c>
      <c r="AW4" s="332" t="s">
        <v>368</v>
      </c>
      <c r="AX4" s="332" t="s">
        <v>368</v>
      </c>
      <c r="AY4" s="332">
        <v>622.09625093756495</v>
      </c>
      <c r="AZ4" s="332">
        <v>447.73490466016699</v>
      </c>
      <c r="BA4" s="332">
        <v>381.49917671437299</v>
      </c>
      <c r="BB4" s="332" t="s">
        <v>368</v>
      </c>
      <c r="BC4" s="332" t="s">
        <v>368</v>
      </c>
      <c r="BD4" s="332" t="s">
        <v>369</v>
      </c>
      <c r="BE4" s="332" t="s">
        <v>379</v>
      </c>
      <c r="BF4" s="332" t="s">
        <v>371</v>
      </c>
      <c r="BG4" s="332" t="s">
        <v>372</v>
      </c>
      <c r="BH4" s="332" t="s">
        <v>373</v>
      </c>
      <c r="BI4" s="332">
        <v>60</v>
      </c>
      <c r="BJ4" s="332">
        <v>45</v>
      </c>
      <c r="BK4" s="332" t="s">
        <v>374</v>
      </c>
      <c r="BL4" s="332" t="b">
        <v>0</v>
      </c>
      <c r="BM4" s="332" t="s">
        <v>375</v>
      </c>
      <c r="BN4" s="332" t="s">
        <v>376</v>
      </c>
      <c r="BO4" s="332">
        <v>0.87876114180294196</v>
      </c>
      <c r="BP4" s="332">
        <v>1</v>
      </c>
      <c r="BQ4" s="332">
        <v>234</v>
      </c>
      <c r="BR4" s="332" t="s">
        <v>377</v>
      </c>
      <c r="BS4" s="332" t="s">
        <v>378</v>
      </c>
      <c r="BT4" s="332">
        <v>2</v>
      </c>
      <c r="BU4" s="332">
        <v>20</v>
      </c>
    </row>
    <row r="5" spans="1:78" s="332" customFormat="1">
      <c r="A5" s="332">
        <v>3</v>
      </c>
      <c r="B5" s="333">
        <v>43250.945162037038</v>
      </c>
      <c r="C5" s="332">
        <v>45.3125</v>
      </c>
      <c r="D5" s="332">
        <v>390.22746442721598</v>
      </c>
      <c r="E5" s="334">
        <v>6.6925017664624102E-6</v>
      </c>
      <c r="F5" s="332">
        <v>717.68192233851596</v>
      </c>
      <c r="G5" s="332">
        <v>126.29753326637901</v>
      </c>
      <c r="H5" s="332">
        <v>34.329000000000001</v>
      </c>
      <c r="I5" s="332">
        <v>90.004000000000005</v>
      </c>
      <c r="J5" s="332">
        <v>3.089747316</v>
      </c>
      <c r="K5" s="332" t="s">
        <v>367</v>
      </c>
      <c r="L5" s="332" t="s">
        <v>368</v>
      </c>
      <c r="M5" s="332" t="s">
        <v>368</v>
      </c>
      <c r="N5" s="332" t="s">
        <v>368</v>
      </c>
      <c r="O5" s="332" t="s">
        <v>368</v>
      </c>
      <c r="P5" s="332">
        <v>420.59513642110102</v>
      </c>
      <c r="Q5" s="332">
        <v>390.22746442721598</v>
      </c>
      <c r="R5" s="332">
        <v>151.71720978420299</v>
      </c>
      <c r="S5" s="332">
        <v>0.43696388635054301</v>
      </c>
      <c r="T5" s="332">
        <v>0.40541436324673502</v>
      </c>
      <c r="U5" s="332">
        <v>0.25001350282294299</v>
      </c>
      <c r="V5" s="332">
        <v>0.34794316492577398</v>
      </c>
      <c r="W5" s="332">
        <v>0.25001350282294299</v>
      </c>
      <c r="X5" s="332">
        <v>0.52191474738866095</v>
      </c>
      <c r="Y5" s="332">
        <v>582.61945915160504</v>
      </c>
      <c r="Z5" s="332">
        <v>52.857287196643902</v>
      </c>
      <c r="AA5" s="332">
        <v>3010.1619233801798</v>
      </c>
      <c r="AB5" s="332">
        <v>0.52716069914749197</v>
      </c>
      <c r="AC5" s="332">
        <v>95.388762445756299</v>
      </c>
      <c r="AD5" s="332">
        <v>96.246450310567596</v>
      </c>
      <c r="AE5" s="332">
        <v>97.246793583295599</v>
      </c>
      <c r="AF5" s="332">
        <v>98.013761666645493</v>
      </c>
      <c r="AG5" s="332">
        <v>96.726887832080905</v>
      </c>
      <c r="AH5" s="332">
        <v>96.495223507209005</v>
      </c>
      <c r="AI5" s="332">
        <v>97.804268366346705</v>
      </c>
      <c r="AJ5" s="332">
        <v>94.1587309273052</v>
      </c>
      <c r="AK5" s="332">
        <v>86.417983372599906</v>
      </c>
      <c r="AL5" s="332">
        <v>67.9076461032559</v>
      </c>
      <c r="AM5" s="332">
        <v>93.880049250067401</v>
      </c>
      <c r="AN5" s="332">
        <v>96.205589023397593</v>
      </c>
      <c r="AO5" s="332">
        <v>91.806563880449204</v>
      </c>
      <c r="AP5" s="332">
        <v>96.542207249457107</v>
      </c>
      <c r="AQ5" s="332">
        <v>98.259209406110799</v>
      </c>
      <c r="AR5" s="332">
        <v>91.784236014511393</v>
      </c>
      <c r="AS5" s="332">
        <v>1.3521032608354899</v>
      </c>
      <c r="AT5" s="332">
        <v>622.81358846542298</v>
      </c>
      <c r="AU5" s="332">
        <v>447.64651048658101</v>
      </c>
      <c r="AV5" s="332">
        <v>367.32450028582701</v>
      </c>
      <c r="AW5" s="332" t="s">
        <v>368</v>
      </c>
      <c r="AX5" s="332" t="s">
        <v>368</v>
      </c>
      <c r="AY5" s="332">
        <v>623.30080091259197</v>
      </c>
      <c r="AZ5" s="332">
        <v>447.73490466016699</v>
      </c>
      <c r="BA5" s="332">
        <v>367.31917907381802</v>
      </c>
      <c r="BB5" s="332" t="s">
        <v>368</v>
      </c>
      <c r="BC5" s="332" t="s">
        <v>368</v>
      </c>
      <c r="BD5" s="332" t="s">
        <v>369</v>
      </c>
      <c r="BE5" s="332" t="s">
        <v>380</v>
      </c>
      <c r="BF5" s="332" t="s">
        <v>371</v>
      </c>
      <c r="BG5" s="332" t="s">
        <v>372</v>
      </c>
      <c r="BH5" s="332" t="s">
        <v>373</v>
      </c>
      <c r="BI5" s="332">
        <v>90</v>
      </c>
      <c r="BJ5" s="332">
        <v>45</v>
      </c>
      <c r="BK5" s="332" t="s">
        <v>374</v>
      </c>
      <c r="BL5" s="332" t="b">
        <v>0</v>
      </c>
      <c r="BM5" s="332" t="s">
        <v>375</v>
      </c>
      <c r="BN5" s="332" t="s">
        <v>376</v>
      </c>
      <c r="BO5" s="332">
        <v>0.87876114180294196</v>
      </c>
      <c r="BP5" s="332">
        <v>1</v>
      </c>
      <c r="BQ5" s="332">
        <v>234</v>
      </c>
      <c r="BR5" s="332" t="s">
        <v>377</v>
      </c>
      <c r="BS5" s="332" t="s">
        <v>378</v>
      </c>
      <c r="BT5" s="332">
        <v>2</v>
      </c>
      <c r="BU5" s="332">
        <v>20</v>
      </c>
    </row>
    <row r="6" spans="1:78" s="332" customFormat="1">
      <c r="A6" s="332">
        <v>4</v>
      </c>
      <c r="B6" s="333">
        <v>43250.94568287037</v>
      </c>
      <c r="C6" s="332">
        <v>89.6875</v>
      </c>
      <c r="D6" s="332">
        <v>506.72858533662202</v>
      </c>
      <c r="E6" s="334">
        <v>8.6589452964634094E-6</v>
      </c>
      <c r="F6" s="332">
        <v>696.50664807932299</v>
      </c>
      <c r="G6" s="332">
        <v>120.36739732981199</v>
      </c>
      <c r="H6" s="332">
        <v>35.085000000000001</v>
      </c>
      <c r="I6" s="332">
        <v>119.99</v>
      </c>
      <c r="J6" s="332">
        <v>4.2098491500000002</v>
      </c>
      <c r="K6" s="332" t="s">
        <v>367</v>
      </c>
      <c r="L6" s="332" t="s">
        <v>368</v>
      </c>
      <c r="M6" s="332" t="s">
        <v>368</v>
      </c>
      <c r="N6" s="332" t="s">
        <v>368</v>
      </c>
      <c r="O6" s="332" t="s">
        <v>368</v>
      </c>
      <c r="P6" s="332">
        <v>545.16271372608298</v>
      </c>
      <c r="Q6" s="332">
        <v>506.72858533662202</v>
      </c>
      <c r="R6" s="332">
        <v>198.19914113998701</v>
      </c>
      <c r="S6" s="332">
        <v>0.43609861830291902</v>
      </c>
      <c r="T6" s="332">
        <v>0.40535354006423802</v>
      </c>
      <c r="U6" s="332">
        <v>0.249482721048953</v>
      </c>
      <c r="V6" s="332">
        <v>0.34784117600141001</v>
      </c>
      <c r="W6" s="332">
        <v>0.249482721048953</v>
      </c>
      <c r="X6" s="332">
        <v>0.52176176400211505</v>
      </c>
      <c r="Y6" s="332">
        <v>582.52524169008802</v>
      </c>
      <c r="Z6" s="332">
        <v>52.579234553711999</v>
      </c>
      <c r="AA6" s="332">
        <v>3024.2985501684798</v>
      </c>
      <c r="AB6" s="332">
        <v>0.62350708711279301</v>
      </c>
      <c r="AC6" s="332">
        <v>95.120903793836902</v>
      </c>
      <c r="AD6" s="332">
        <v>95.888835586455798</v>
      </c>
      <c r="AE6" s="332">
        <v>96.980113283138806</v>
      </c>
      <c r="AF6" s="332">
        <v>97.900413027636603</v>
      </c>
      <c r="AG6" s="332">
        <v>96.522644483689106</v>
      </c>
      <c r="AH6" s="332">
        <v>96.131915140760597</v>
      </c>
      <c r="AI6" s="332">
        <v>97.606473948659698</v>
      </c>
      <c r="AJ6" s="332">
        <v>94.006568626363006</v>
      </c>
      <c r="AK6" s="332">
        <v>85.930266253991704</v>
      </c>
      <c r="AL6" s="332">
        <v>66.650923307342396</v>
      </c>
      <c r="AM6" s="332">
        <v>93.297403761662906</v>
      </c>
      <c r="AN6" s="332">
        <v>96.372589489002806</v>
      </c>
      <c r="AO6" s="332">
        <v>91.519903316261505</v>
      </c>
      <c r="AP6" s="332">
        <v>96.1835685378839</v>
      </c>
      <c r="AQ6" s="332">
        <v>98.216549498842298</v>
      </c>
      <c r="AR6" s="332">
        <v>91.346493812857901</v>
      </c>
      <c r="AS6" s="332">
        <v>1.7502299282322</v>
      </c>
      <c r="AT6" s="332">
        <v>623.27276129242</v>
      </c>
      <c r="AU6" s="332">
        <v>447.268896224407</v>
      </c>
      <c r="AV6" s="332">
        <v>364.48777487455601</v>
      </c>
      <c r="AW6" s="332" t="s">
        <v>368</v>
      </c>
      <c r="AX6" s="332" t="s">
        <v>368</v>
      </c>
      <c r="AY6" s="332">
        <v>623.30080091259197</v>
      </c>
      <c r="AZ6" s="332">
        <v>447.73490466016699</v>
      </c>
      <c r="BA6" s="332">
        <v>363.77417966367898</v>
      </c>
      <c r="BB6" s="332" t="s">
        <v>368</v>
      </c>
      <c r="BC6" s="332" t="s">
        <v>368</v>
      </c>
      <c r="BD6" s="332" t="s">
        <v>369</v>
      </c>
      <c r="BE6" s="332" t="s">
        <v>381</v>
      </c>
      <c r="BF6" s="332" t="s">
        <v>371</v>
      </c>
      <c r="BG6" s="332" t="s">
        <v>372</v>
      </c>
      <c r="BH6" s="332" t="s">
        <v>373</v>
      </c>
      <c r="BI6" s="332">
        <v>120</v>
      </c>
      <c r="BJ6" s="332">
        <v>45</v>
      </c>
      <c r="BK6" s="332" t="s">
        <v>374</v>
      </c>
      <c r="BL6" s="332" t="b">
        <v>0</v>
      </c>
      <c r="BM6" s="332" t="s">
        <v>375</v>
      </c>
      <c r="BN6" s="332" t="s">
        <v>376</v>
      </c>
      <c r="BO6" s="332">
        <v>0.87876114180294196</v>
      </c>
      <c r="BP6" s="332">
        <v>1</v>
      </c>
      <c r="BQ6" s="332">
        <v>234</v>
      </c>
      <c r="BR6" s="332" t="s">
        <v>377</v>
      </c>
      <c r="BS6" s="332" t="s">
        <v>378</v>
      </c>
      <c r="BT6" s="332">
        <v>2</v>
      </c>
      <c r="BU6" s="332">
        <v>20</v>
      </c>
    </row>
    <row r="7" spans="1:78" s="332" customFormat="1">
      <c r="A7" s="332">
        <v>5</v>
      </c>
      <c r="B7" s="333">
        <v>43250.946643518517</v>
      </c>
      <c r="C7" s="332">
        <v>173.078125</v>
      </c>
      <c r="D7" s="332">
        <v>616.96873433910298</v>
      </c>
      <c r="E7" s="334">
        <v>1.05099738981808E-5</v>
      </c>
      <c r="F7" s="332">
        <v>676.24508369154296</v>
      </c>
      <c r="G7" s="332">
        <v>114.943275163857</v>
      </c>
      <c r="H7" s="332">
        <v>35.783000000000001</v>
      </c>
      <c r="I7" s="332">
        <v>150.00399999999999</v>
      </c>
      <c r="J7" s="332">
        <v>5.3675931319999997</v>
      </c>
      <c r="K7" s="332" t="s">
        <v>367</v>
      </c>
      <c r="L7" s="332" t="s">
        <v>368</v>
      </c>
      <c r="M7" s="332" t="s">
        <v>368</v>
      </c>
      <c r="N7" s="332" t="s">
        <v>368</v>
      </c>
      <c r="O7" s="332" t="s">
        <v>368</v>
      </c>
      <c r="P7" s="332">
        <v>662.42103798319397</v>
      </c>
      <c r="Q7" s="332">
        <v>616.96873433910298</v>
      </c>
      <c r="R7" s="332">
        <v>242.36883103618899</v>
      </c>
      <c r="S7" s="332">
        <v>0.435299683222586</v>
      </c>
      <c r="T7" s="332">
        <v>0.40543140875133998</v>
      </c>
      <c r="U7" s="332">
        <v>0.24893551087091001</v>
      </c>
      <c r="V7" s="332">
        <v>0.34778204103018001</v>
      </c>
      <c r="W7" s="332">
        <v>0.24893551087091001</v>
      </c>
      <c r="X7" s="332">
        <v>0.52167306154527004</v>
      </c>
      <c r="Y7" s="332">
        <v>582.41407314235505</v>
      </c>
      <c r="Z7" s="332">
        <v>52.362906928693398</v>
      </c>
      <c r="AA7" s="332">
        <v>3038.5536157798902</v>
      </c>
      <c r="AB7" s="332">
        <v>0.76688686165540199</v>
      </c>
      <c r="AC7" s="332">
        <v>94.868085457287407</v>
      </c>
      <c r="AD7" s="332">
        <v>95.557526474438603</v>
      </c>
      <c r="AE7" s="332">
        <v>96.709138666927799</v>
      </c>
      <c r="AF7" s="332">
        <v>97.743777922619799</v>
      </c>
      <c r="AG7" s="332">
        <v>96.339476695860199</v>
      </c>
      <c r="AH7" s="332">
        <v>95.782360354405</v>
      </c>
      <c r="AI7" s="332">
        <v>97.352194032354106</v>
      </c>
      <c r="AJ7" s="332">
        <v>93.912273390550396</v>
      </c>
      <c r="AK7" s="332">
        <v>85.547936121143096</v>
      </c>
      <c r="AL7" s="332">
        <v>65.596433573591597</v>
      </c>
      <c r="AM7" s="332">
        <v>92.693801682691003</v>
      </c>
      <c r="AN7" s="332">
        <v>96.510373533123598</v>
      </c>
      <c r="AO7" s="332">
        <v>91.071245292656798</v>
      </c>
      <c r="AP7" s="332">
        <v>95.842583838410306</v>
      </c>
      <c r="AQ7" s="332">
        <v>98.144703227015697</v>
      </c>
      <c r="AR7" s="332">
        <v>90.946081132795001</v>
      </c>
      <c r="AS7" s="332">
        <v>2.1250655136518501</v>
      </c>
      <c r="AT7" s="332">
        <v>622.92867869943802</v>
      </c>
      <c r="AU7" s="332">
        <v>447.29642283036202</v>
      </c>
      <c r="AV7" s="332">
        <v>377.45183028937799</v>
      </c>
      <c r="AW7" s="332" t="s">
        <v>368</v>
      </c>
      <c r="AX7" s="332" t="s">
        <v>368</v>
      </c>
      <c r="AY7" s="332">
        <v>622.09625093756495</v>
      </c>
      <c r="AZ7" s="332">
        <v>447.73490466016699</v>
      </c>
      <c r="BA7" s="332">
        <v>376.77251083418798</v>
      </c>
      <c r="BB7" s="332" t="s">
        <v>368</v>
      </c>
      <c r="BC7" s="332" t="s">
        <v>368</v>
      </c>
      <c r="BD7" s="332" t="s">
        <v>369</v>
      </c>
      <c r="BE7" s="332" t="s">
        <v>382</v>
      </c>
      <c r="BF7" s="332" t="s">
        <v>371</v>
      </c>
      <c r="BG7" s="332" t="s">
        <v>372</v>
      </c>
      <c r="BH7" s="332" t="s">
        <v>373</v>
      </c>
      <c r="BI7" s="332">
        <v>150</v>
      </c>
      <c r="BJ7" s="332">
        <v>45</v>
      </c>
      <c r="BK7" s="332" t="s">
        <v>374</v>
      </c>
      <c r="BL7" s="332" t="b">
        <v>0</v>
      </c>
      <c r="BM7" s="332" t="s">
        <v>375</v>
      </c>
      <c r="BN7" s="332" t="s">
        <v>376</v>
      </c>
      <c r="BO7" s="332">
        <v>0.87876114180294196</v>
      </c>
      <c r="BP7" s="332">
        <v>1</v>
      </c>
      <c r="BQ7" s="332">
        <v>234</v>
      </c>
      <c r="BR7" s="332" t="s">
        <v>377</v>
      </c>
      <c r="BS7" s="332" t="s">
        <v>378</v>
      </c>
      <c r="BT7" s="332">
        <v>2</v>
      </c>
      <c r="BU7" s="332">
        <v>20</v>
      </c>
    </row>
    <row r="8" spans="1:78" s="332" customFormat="1">
      <c r="A8" s="332">
        <v>6</v>
      </c>
      <c r="B8" s="333">
        <v>43250.94734953704</v>
      </c>
      <c r="C8" s="332">
        <v>234.359375</v>
      </c>
      <c r="D8" s="332">
        <v>704.58566013175903</v>
      </c>
      <c r="E8" s="334">
        <v>1.19769239440956E-5</v>
      </c>
      <c r="F8" s="332">
        <v>660.56044850086198</v>
      </c>
      <c r="G8" s="332">
        <v>110.817014537638</v>
      </c>
      <c r="H8" s="332">
        <v>36.332000000000001</v>
      </c>
      <c r="I8" s="332">
        <v>175</v>
      </c>
      <c r="J8" s="332">
        <v>6.3581000000000003</v>
      </c>
      <c r="K8" s="332" t="s">
        <v>367</v>
      </c>
      <c r="L8" s="332" t="s">
        <v>368</v>
      </c>
      <c r="M8" s="332" t="s">
        <v>368</v>
      </c>
      <c r="N8" s="332" t="s">
        <v>368</v>
      </c>
      <c r="O8" s="332" t="s">
        <v>368</v>
      </c>
      <c r="P8" s="332">
        <v>755.480944109956</v>
      </c>
      <c r="Q8" s="332">
        <v>704.58566013175903</v>
      </c>
      <c r="R8" s="332">
        <v>277.95410536456598</v>
      </c>
      <c r="S8" s="332">
        <v>0.43467890798671599</v>
      </c>
      <c r="T8" s="332">
        <v>0.40539543414955698</v>
      </c>
      <c r="U8" s="332">
        <v>0.248551729026845</v>
      </c>
      <c r="V8" s="332">
        <v>0.34771092263535802</v>
      </c>
      <c r="W8" s="332">
        <v>0.248551729026845</v>
      </c>
      <c r="X8" s="332">
        <v>0.521566383953037</v>
      </c>
      <c r="Y8" s="332">
        <v>582.34382169237904</v>
      </c>
      <c r="Z8" s="332">
        <v>52.1657318081973</v>
      </c>
      <c r="AA8" s="332">
        <v>3048.9164712544898</v>
      </c>
      <c r="AB8" s="332">
        <v>0.84172136382741602</v>
      </c>
      <c r="AC8" s="332">
        <v>94.666529853356906</v>
      </c>
      <c r="AD8" s="332">
        <v>95.289539998642695</v>
      </c>
      <c r="AE8" s="332">
        <v>96.5161653846761</v>
      </c>
      <c r="AF8" s="332">
        <v>97.656189563809306</v>
      </c>
      <c r="AG8" s="332">
        <v>96.179591527238301</v>
      </c>
      <c r="AH8" s="332">
        <v>95.510155878288003</v>
      </c>
      <c r="AI8" s="332">
        <v>97.1500164454241</v>
      </c>
      <c r="AJ8" s="332">
        <v>93.811273675130494</v>
      </c>
      <c r="AK8" s="332">
        <v>85.219306353645905</v>
      </c>
      <c r="AL8" s="332">
        <v>64.741602230991006</v>
      </c>
      <c r="AM8" s="332">
        <v>92.263769460712496</v>
      </c>
      <c r="AN8" s="332">
        <v>96.625824826367506</v>
      </c>
      <c r="AO8" s="332">
        <v>90.810122877527107</v>
      </c>
      <c r="AP8" s="332">
        <v>95.575071289030205</v>
      </c>
      <c r="AQ8" s="332">
        <v>98.109656580362198</v>
      </c>
      <c r="AR8" s="332">
        <v>90.635599266427704</v>
      </c>
      <c r="AS8" s="332">
        <v>2.4241260243842802</v>
      </c>
      <c r="AT8" s="332">
        <v>622.597790355911</v>
      </c>
      <c r="AU8" s="332">
        <v>447.03505988248298</v>
      </c>
      <c r="AV8" s="332">
        <v>364.82029623325201</v>
      </c>
      <c r="AW8" s="332" t="s">
        <v>368</v>
      </c>
      <c r="AX8" s="332" t="s">
        <v>368</v>
      </c>
      <c r="AY8" s="332">
        <v>622.09625093756495</v>
      </c>
      <c r="AZ8" s="332">
        <v>447.73490466016699</v>
      </c>
      <c r="BA8" s="332">
        <v>364.955846133725</v>
      </c>
      <c r="BB8" s="332" t="s">
        <v>368</v>
      </c>
      <c r="BC8" s="332" t="s">
        <v>368</v>
      </c>
      <c r="BD8" s="332" t="s">
        <v>369</v>
      </c>
      <c r="BE8" s="332" t="s">
        <v>383</v>
      </c>
      <c r="BF8" s="332" t="s">
        <v>371</v>
      </c>
      <c r="BG8" s="332" t="s">
        <v>372</v>
      </c>
      <c r="BH8" s="332" t="s">
        <v>373</v>
      </c>
      <c r="BI8" s="332">
        <v>175</v>
      </c>
      <c r="BJ8" s="332">
        <v>45</v>
      </c>
      <c r="BK8" s="332" t="s">
        <v>374</v>
      </c>
      <c r="BL8" s="332" t="b">
        <v>0</v>
      </c>
      <c r="BM8" s="332" t="s">
        <v>375</v>
      </c>
      <c r="BN8" s="332" t="s">
        <v>376</v>
      </c>
      <c r="BO8" s="332">
        <v>0.87876114180294196</v>
      </c>
      <c r="BP8" s="332">
        <v>1</v>
      </c>
      <c r="BQ8" s="332">
        <v>234</v>
      </c>
      <c r="BR8" s="332" t="s">
        <v>377</v>
      </c>
      <c r="BS8" s="332" t="s">
        <v>378</v>
      </c>
      <c r="BT8" s="332">
        <v>2</v>
      </c>
      <c r="BU8" s="332">
        <v>20</v>
      </c>
    </row>
    <row r="9" spans="1:78" s="332" customFormat="1">
      <c r="A9" s="332">
        <v>7</v>
      </c>
      <c r="B9" s="333">
        <v>43250.947870370372</v>
      </c>
      <c r="C9" s="332">
        <v>279.25</v>
      </c>
      <c r="D9" s="332">
        <v>820.64569240258902</v>
      </c>
      <c r="E9" s="334">
        <v>1.39137768755091E-5</v>
      </c>
      <c r="F9" s="332">
        <v>639.49821367930895</v>
      </c>
      <c r="G9" s="332">
        <v>105.465295700593</v>
      </c>
      <c r="H9" s="332">
        <v>37.054000000000002</v>
      </c>
      <c r="I9" s="332">
        <v>209.99600000000001</v>
      </c>
      <c r="J9" s="332">
        <v>7.7811917839999998</v>
      </c>
      <c r="K9" s="332" t="s">
        <v>367</v>
      </c>
      <c r="L9" s="332" t="s">
        <v>368</v>
      </c>
      <c r="M9" s="332" t="s">
        <v>368</v>
      </c>
      <c r="N9" s="332" t="s">
        <v>368</v>
      </c>
      <c r="O9" s="332" t="s">
        <v>368</v>
      </c>
      <c r="P9" s="332">
        <v>878.48733792071096</v>
      </c>
      <c r="Q9" s="332">
        <v>820.64569240258902</v>
      </c>
      <c r="R9" s="332">
        <v>324.92341697753301</v>
      </c>
      <c r="S9" s="332">
        <v>0.43402314154440302</v>
      </c>
      <c r="T9" s="332">
        <v>0.40544605042856202</v>
      </c>
      <c r="U9" s="332">
        <v>0.24810869872965799</v>
      </c>
      <c r="V9" s="332">
        <v>0.34765896912417898</v>
      </c>
      <c r="W9" s="332">
        <v>0.24810869872965799</v>
      </c>
      <c r="X9" s="332">
        <v>0.52148845368626795</v>
      </c>
      <c r="Y9" s="332">
        <v>582.25360993078095</v>
      </c>
      <c r="Z9" s="332">
        <v>51.984160559748297</v>
      </c>
      <c r="AA9" s="332">
        <v>3060.6463663843901</v>
      </c>
      <c r="AB9" s="332">
        <v>0.95742905037356796</v>
      </c>
      <c r="AC9" s="332">
        <v>94.408119572927603</v>
      </c>
      <c r="AD9" s="332">
        <v>94.958080301042401</v>
      </c>
      <c r="AE9" s="332">
        <v>96.276904363336001</v>
      </c>
      <c r="AF9" s="332">
        <v>97.549242695018293</v>
      </c>
      <c r="AG9" s="332">
        <v>95.994797959414001</v>
      </c>
      <c r="AH9" s="332">
        <v>95.170314702594794</v>
      </c>
      <c r="AI9" s="332">
        <v>96.884056347888702</v>
      </c>
      <c r="AJ9" s="332">
        <v>93.678812238730998</v>
      </c>
      <c r="AK9" s="332">
        <v>84.752747975395494</v>
      </c>
      <c r="AL9" s="332">
        <v>63.523639178072401</v>
      </c>
      <c r="AM9" s="332">
        <v>91.718350395251605</v>
      </c>
      <c r="AN9" s="332">
        <v>96.740369105288295</v>
      </c>
      <c r="AO9" s="332">
        <v>90.342801758551502</v>
      </c>
      <c r="AP9" s="332">
        <v>95.249485734280299</v>
      </c>
      <c r="AQ9" s="332">
        <v>98.061205561712299</v>
      </c>
      <c r="AR9" s="332">
        <v>90.223487788896605</v>
      </c>
      <c r="AS9" s="332">
        <v>2.8160678526121599</v>
      </c>
      <c r="AT9" s="332">
        <v>622.78389809784198</v>
      </c>
      <c r="AU9" s="332">
        <v>447.54969152264198</v>
      </c>
      <c r="AV9" s="332">
        <v>360.91881649352501</v>
      </c>
      <c r="AW9" s="332" t="s">
        <v>368</v>
      </c>
      <c r="AX9" s="332" t="s">
        <v>368</v>
      </c>
      <c r="AY9" s="332">
        <v>622.09625093756495</v>
      </c>
      <c r="AZ9" s="332">
        <v>447.73490466016699</v>
      </c>
      <c r="BA9" s="332">
        <v>360.22918025353999</v>
      </c>
      <c r="BB9" s="332" t="s">
        <v>368</v>
      </c>
      <c r="BC9" s="332" t="s">
        <v>368</v>
      </c>
      <c r="BD9" s="332" t="s">
        <v>369</v>
      </c>
      <c r="BE9" s="332" t="s">
        <v>384</v>
      </c>
      <c r="BF9" s="332" t="s">
        <v>371</v>
      </c>
      <c r="BG9" s="332" t="s">
        <v>372</v>
      </c>
      <c r="BH9" s="332" t="s">
        <v>373</v>
      </c>
      <c r="BI9" s="332">
        <v>210</v>
      </c>
      <c r="BJ9" s="332">
        <v>45</v>
      </c>
      <c r="BK9" s="332" t="s">
        <v>374</v>
      </c>
      <c r="BL9" s="332" t="b">
        <v>0</v>
      </c>
      <c r="BM9" s="332" t="s">
        <v>375</v>
      </c>
      <c r="BN9" s="332" t="s">
        <v>376</v>
      </c>
      <c r="BO9" s="332">
        <v>0.87876114180294196</v>
      </c>
      <c r="BP9" s="332">
        <v>1</v>
      </c>
      <c r="BQ9" s="332">
        <v>234</v>
      </c>
      <c r="BR9" s="332" t="s">
        <v>377</v>
      </c>
      <c r="BS9" s="332" t="s">
        <v>378</v>
      </c>
      <c r="BT9" s="332">
        <v>2</v>
      </c>
      <c r="BU9" s="332">
        <v>20</v>
      </c>
    </row>
    <row r="10" spans="1:78" s="332" customFormat="1">
      <c r="A10" s="332">
        <v>8</v>
      </c>
      <c r="B10" s="333">
        <v>43250.948622685188</v>
      </c>
      <c r="C10" s="332">
        <v>343.625</v>
      </c>
      <c r="D10" s="332">
        <v>915.46990899674995</v>
      </c>
      <c r="E10" s="334">
        <v>1.5482109370239799E-5</v>
      </c>
      <c r="F10" s="332">
        <v>622.590513035051</v>
      </c>
      <c r="G10" s="332">
        <v>101.319323189478</v>
      </c>
      <c r="H10" s="332">
        <v>37.646000000000001</v>
      </c>
      <c r="I10" s="332">
        <v>240.012</v>
      </c>
      <c r="J10" s="332">
        <v>9.0354917520000004</v>
      </c>
      <c r="K10" s="332" t="s">
        <v>367</v>
      </c>
      <c r="L10" s="332" t="s">
        <v>368</v>
      </c>
      <c r="M10" s="332" t="s">
        <v>368</v>
      </c>
      <c r="N10" s="332" t="s">
        <v>368</v>
      </c>
      <c r="O10" s="332" t="s">
        <v>368</v>
      </c>
      <c r="P10" s="332">
        <v>978.69763063227299</v>
      </c>
      <c r="Q10" s="332">
        <v>915.46990899674995</v>
      </c>
      <c r="R10" s="332">
        <v>363.995182960558</v>
      </c>
      <c r="S10" s="332">
        <v>0.43340438704520701</v>
      </c>
      <c r="T10" s="332">
        <v>0.40540475663636899</v>
      </c>
      <c r="U10" s="332">
        <v>0.24772871984992201</v>
      </c>
      <c r="V10" s="332">
        <v>0.34758670326560798</v>
      </c>
      <c r="W10" s="332">
        <v>0.24772871984992201</v>
      </c>
      <c r="X10" s="332">
        <v>0.52138005489841199</v>
      </c>
      <c r="Y10" s="332">
        <v>582.18341386469001</v>
      </c>
      <c r="Z10" s="332">
        <v>51.785988267802203</v>
      </c>
      <c r="AA10" s="332">
        <v>3071.0476107235399</v>
      </c>
      <c r="AB10" s="332">
        <v>1.03205550385103</v>
      </c>
      <c r="AC10" s="332">
        <v>94.234370622988394</v>
      </c>
      <c r="AD10" s="332">
        <v>94.738916285845306</v>
      </c>
      <c r="AE10" s="332">
        <v>96.118529180309295</v>
      </c>
      <c r="AF10" s="332">
        <v>97.487370756044399</v>
      </c>
      <c r="AG10" s="332">
        <v>95.865217347128905</v>
      </c>
      <c r="AH10" s="332">
        <v>94.948939682504204</v>
      </c>
      <c r="AI10" s="332">
        <v>96.709008900360402</v>
      </c>
      <c r="AJ10" s="332">
        <v>93.582887963504604</v>
      </c>
      <c r="AK10" s="332">
        <v>84.424094868209707</v>
      </c>
      <c r="AL10" s="332">
        <v>62.662687282094403</v>
      </c>
      <c r="AM10" s="332">
        <v>91.362811856452694</v>
      </c>
      <c r="AN10" s="332">
        <v>96.790763612982602</v>
      </c>
      <c r="AO10" s="332">
        <v>90.093829085521094</v>
      </c>
      <c r="AP10" s="332">
        <v>95.035537230218495</v>
      </c>
      <c r="AQ10" s="332">
        <v>98.035490273181395</v>
      </c>
      <c r="AR10" s="332">
        <v>89.940189442029805</v>
      </c>
      <c r="AS10" s="332">
        <v>3.1356075435994</v>
      </c>
      <c r="AT10" s="332">
        <v>618.18582048992505</v>
      </c>
      <c r="AU10" s="332">
        <v>447.097592686094</v>
      </c>
      <c r="AV10" s="332">
        <v>376.21750278905103</v>
      </c>
      <c r="AW10" s="332" t="s">
        <v>368</v>
      </c>
      <c r="AX10" s="332" t="s">
        <v>368</v>
      </c>
      <c r="AY10" s="332">
        <v>618.48260101248502</v>
      </c>
      <c r="AZ10" s="332">
        <v>447.73490466016699</v>
      </c>
      <c r="BA10" s="332">
        <v>376.77251083418798</v>
      </c>
      <c r="BB10" s="332" t="s">
        <v>368</v>
      </c>
      <c r="BC10" s="332" t="s">
        <v>368</v>
      </c>
      <c r="BD10" s="332" t="s">
        <v>369</v>
      </c>
      <c r="BE10" s="332" t="s">
        <v>385</v>
      </c>
      <c r="BF10" s="332" t="s">
        <v>371</v>
      </c>
      <c r="BG10" s="332" t="s">
        <v>372</v>
      </c>
      <c r="BH10" s="332" t="s">
        <v>373</v>
      </c>
      <c r="BI10" s="332">
        <v>240</v>
      </c>
      <c r="BJ10" s="332">
        <v>45</v>
      </c>
      <c r="BK10" s="332" t="s">
        <v>374</v>
      </c>
      <c r="BL10" s="332" t="b">
        <v>0</v>
      </c>
      <c r="BM10" s="332" t="s">
        <v>375</v>
      </c>
      <c r="BN10" s="332" t="s">
        <v>376</v>
      </c>
      <c r="BO10" s="332">
        <v>0.87876114180294196</v>
      </c>
      <c r="BP10" s="332">
        <v>1</v>
      </c>
      <c r="BQ10" s="332">
        <v>234</v>
      </c>
      <c r="BR10" s="332" t="s">
        <v>377</v>
      </c>
      <c r="BS10" s="332" t="s">
        <v>378</v>
      </c>
      <c r="BT10" s="332">
        <v>2</v>
      </c>
      <c r="BU10" s="332">
        <v>20</v>
      </c>
    </row>
    <row r="11" spans="1:78" s="332" customFormat="1">
      <c r="A11" s="332">
        <v>9</v>
      </c>
      <c r="B11" s="333">
        <v>43250.949305555558</v>
      </c>
      <c r="C11" s="332">
        <v>402.890625</v>
      </c>
      <c r="D11" s="332">
        <v>1004.27186135326</v>
      </c>
      <c r="E11" s="334">
        <v>1.69362480700091E-5</v>
      </c>
      <c r="F11" s="332">
        <v>605.43400236641799</v>
      </c>
      <c r="G11" s="332">
        <v>97.356286808231602</v>
      </c>
      <c r="H11" s="332">
        <v>38.206000000000003</v>
      </c>
      <c r="I11" s="332">
        <v>269.995</v>
      </c>
      <c r="J11" s="332">
        <v>10.315428969999999</v>
      </c>
      <c r="K11" s="332" t="s">
        <v>367</v>
      </c>
      <c r="L11" s="332" t="s">
        <v>368</v>
      </c>
      <c r="M11" s="332" t="s">
        <v>368</v>
      </c>
      <c r="N11" s="332" t="s">
        <v>368</v>
      </c>
      <c r="O11" s="332" t="s">
        <v>368</v>
      </c>
      <c r="P11" s="332">
        <v>1072.42748516854</v>
      </c>
      <c r="Q11" s="332">
        <v>1004.27186135326</v>
      </c>
      <c r="R11" s="332">
        <v>400.58047956353101</v>
      </c>
      <c r="S11" s="332">
        <v>0.43290526725162798</v>
      </c>
      <c r="T11" s="332">
        <v>0.40539298418307501</v>
      </c>
      <c r="U11" s="332">
        <v>0.247413131167845</v>
      </c>
      <c r="V11" s="332">
        <v>0.34753405129595599</v>
      </c>
      <c r="W11" s="332">
        <v>0.247413131167845</v>
      </c>
      <c r="X11" s="332">
        <v>0.52130107694393402</v>
      </c>
      <c r="Y11" s="332">
        <v>582.12264187894402</v>
      </c>
      <c r="Z11" s="332">
        <v>51.632625486286898</v>
      </c>
      <c r="AA11" s="332">
        <v>3079.6547428417298</v>
      </c>
      <c r="AB11" s="332">
        <v>1.10166230479952</v>
      </c>
      <c r="AC11" s="332">
        <v>94.044995003532094</v>
      </c>
      <c r="AD11" s="332">
        <v>94.490588328157699</v>
      </c>
      <c r="AE11" s="332">
        <v>95.964050771342102</v>
      </c>
      <c r="AF11" s="332">
        <v>97.456555825346001</v>
      </c>
      <c r="AG11" s="332">
        <v>95.726238850263698</v>
      </c>
      <c r="AH11" s="332">
        <v>94.704463094538497</v>
      </c>
      <c r="AI11" s="332">
        <v>96.528991056222097</v>
      </c>
      <c r="AJ11" s="332">
        <v>93.461576632017795</v>
      </c>
      <c r="AK11" s="332">
        <v>84.027495470369004</v>
      </c>
      <c r="AL11" s="332">
        <v>61.666442524178102</v>
      </c>
      <c r="AM11" s="332">
        <v>91.013286321459304</v>
      </c>
      <c r="AN11" s="332">
        <v>96.852871050503694</v>
      </c>
      <c r="AO11" s="332">
        <v>89.769569764831303</v>
      </c>
      <c r="AP11" s="332">
        <v>94.802490325903506</v>
      </c>
      <c r="AQ11" s="332">
        <v>98.027928385242504</v>
      </c>
      <c r="AR11" s="332">
        <v>89.618640816134103</v>
      </c>
      <c r="AS11" s="332">
        <v>3.4336277899837202</v>
      </c>
      <c r="AT11" s="332">
        <v>617.93518741932303</v>
      </c>
      <c r="AU11" s="332">
        <v>446.98445951592998</v>
      </c>
      <c r="AV11" s="332">
        <v>365.00939329503001</v>
      </c>
      <c r="AW11" s="332" t="s">
        <v>368</v>
      </c>
      <c r="AX11" s="332" t="s">
        <v>368</v>
      </c>
      <c r="AY11" s="332">
        <v>617.278051037458</v>
      </c>
      <c r="AZ11" s="332">
        <v>447.73490466016699</v>
      </c>
      <c r="BA11" s="332">
        <v>372.04584495400297</v>
      </c>
      <c r="BB11" s="332" t="s">
        <v>368</v>
      </c>
      <c r="BC11" s="332" t="s">
        <v>368</v>
      </c>
      <c r="BD11" s="332" t="s">
        <v>369</v>
      </c>
      <c r="BE11" s="332" t="s">
        <v>386</v>
      </c>
      <c r="BF11" s="332" t="s">
        <v>371</v>
      </c>
      <c r="BG11" s="332" t="s">
        <v>372</v>
      </c>
      <c r="BH11" s="332" t="s">
        <v>373</v>
      </c>
      <c r="BI11" s="332">
        <v>270</v>
      </c>
      <c r="BJ11" s="332">
        <v>45</v>
      </c>
      <c r="BK11" s="332" t="s">
        <v>374</v>
      </c>
      <c r="BL11" s="332" t="b">
        <v>0</v>
      </c>
      <c r="BM11" s="332" t="s">
        <v>375</v>
      </c>
      <c r="BN11" s="332" t="s">
        <v>376</v>
      </c>
      <c r="BO11" s="332">
        <v>0.87876114180294196</v>
      </c>
      <c r="BP11" s="332">
        <v>1</v>
      </c>
      <c r="BQ11" s="332">
        <v>234</v>
      </c>
      <c r="BR11" s="332" t="s">
        <v>377</v>
      </c>
      <c r="BS11" s="332" t="s">
        <v>378</v>
      </c>
      <c r="BT11" s="332">
        <v>2</v>
      </c>
      <c r="BU11" s="332">
        <v>20</v>
      </c>
    </row>
    <row r="12" spans="1:78" s="332" customFormat="1">
      <c r="A12" s="332">
        <v>10</v>
      </c>
      <c r="B12" s="333">
        <v>43250.950289351851</v>
      </c>
      <c r="C12" s="332">
        <v>488.125</v>
      </c>
      <c r="D12" s="332">
        <v>1090.2780986549601</v>
      </c>
      <c r="E12" s="334">
        <v>1.8348919556243201E-5</v>
      </c>
      <c r="F12" s="332">
        <v>590.32173646937201</v>
      </c>
      <c r="G12" s="332">
        <v>93.776432695761699</v>
      </c>
      <c r="H12" s="332">
        <v>38.753999999999998</v>
      </c>
      <c r="I12" s="332">
        <v>300.00400000000002</v>
      </c>
      <c r="J12" s="332">
        <v>11.626355016</v>
      </c>
      <c r="K12" s="332" t="s">
        <v>367</v>
      </c>
      <c r="L12" s="332" t="s">
        <v>368</v>
      </c>
      <c r="M12" s="332" t="s">
        <v>368</v>
      </c>
      <c r="N12" s="332" t="s">
        <v>368</v>
      </c>
      <c r="O12" s="332" t="s">
        <v>368</v>
      </c>
      <c r="P12" s="332">
        <v>1162.98051263052</v>
      </c>
      <c r="Q12" s="332">
        <v>1090.2780986549601</v>
      </c>
      <c r="R12" s="332">
        <v>436.440140892356</v>
      </c>
      <c r="S12" s="332">
        <v>0.43238318480419402</v>
      </c>
      <c r="T12" s="332">
        <v>0.40535323807997697</v>
      </c>
      <c r="U12" s="332">
        <v>0.247094726401482</v>
      </c>
      <c r="V12" s="332">
        <v>0.34747181775125402</v>
      </c>
      <c r="W12" s="332">
        <v>0.247094726401482</v>
      </c>
      <c r="X12" s="332">
        <v>0.52120772662688097</v>
      </c>
      <c r="Y12" s="332">
        <v>582.06347462659699</v>
      </c>
      <c r="Z12" s="332">
        <v>51.463936442882797</v>
      </c>
      <c r="AA12" s="332">
        <v>3088.4745253193501</v>
      </c>
      <c r="AB12" s="332">
        <v>1.16417767031748</v>
      </c>
      <c r="AC12" s="332">
        <v>93.907519007559799</v>
      </c>
      <c r="AD12" s="332">
        <v>94.297380604314995</v>
      </c>
      <c r="AE12" s="332">
        <v>95.855076726221796</v>
      </c>
      <c r="AF12" s="332">
        <v>97.468296153363198</v>
      </c>
      <c r="AG12" s="332">
        <v>95.628276762467195</v>
      </c>
      <c r="AH12" s="332">
        <v>94.520931622350702</v>
      </c>
      <c r="AI12" s="332">
        <v>96.400649076828302</v>
      </c>
      <c r="AJ12" s="332">
        <v>93.3724177793558</v>
      </c>
      <c r="AK12" s="332">
        <v>83.717123335576503</v>
      </c>
      <c r="AL12" s="332">
        <v>60.889553853507103</v>
      </c>
      <c r="AM12" s="332">
        <v>90.774285377523597</v>
      </c>
      <c r="AN12" s="332">
        <v>96.907900937997894</v>
      </c>
      <c r="AO12" s="332">
        <v>89.566292780226703</v>
      </c>
      <c r="AP12" s="332">
        <v>94.623854048625205</v>
      </c>
      <c r="AQ12" s="332">
        <v>98.043761795394602</v>
      </c>
      <c r="AR12" s="332">
        <v>89.370292746437002</v>
      </c>
      <c r="AS12" s="332">
        <v>3.7211642074275799</v>
      </c>
      <c r="AT12" s="332">
        <v>618.15908953050803</v>
      </c>
      <c r="AU12" s="332">
        <v>447.23840240988</v>
      </c>
      <c r="AV12" s="332">
        <v>363.19407729892202</v>
      </c>
      <c r="AW12" s="332" t="s">
        <v>368</v>
      </c>
      <c r="AX12" s="332" t="s">
        <v>368</v>
      </c>
      <c r="AY12" s="332">
        <v>617.278051037458</v>
      </c>
      <c r="AZ12" s="332">
        <v>447.73490466016699</v>
      </c>
      <c r="BA12" s="332">
        <v>363.77417966367898</v>
      </c>
      <c r="BB12" s="332" t="s">
        <v>368</v>
      </c>
      <c r="BC12" s="332" t="s">
        <v>368</v>
      </c>
      <c r="BD12" s="332" t="s">
        <v>369</v>
      </c>
      <c r="BE12" s="332" t="s">
        <v>387</v>
      </c>
      <c r="BF12" s="332" t="s">
        <v>371</v>
      </c>
      <c r="BG12" s="332" t="s">
        <v>372</v>
      </c>
      <c r="BH12" s="332" t="s">
        <v>373</v>
      </c>
      <c r="BI12" s="332">
        <v>300</v>
      </c>
      <c r="BJ12" s="332">
        <v>45</v>
      </c>
      <c r="BK12" s="332" t="s">
        <v>374</v>
      </c>
      <c r="BL12" s="332" t="b">
        <v>0</v>
      </c>
      <c r="BM12" s="332" t="s">
        <v>375</v>
      </c>
      <c r="BN12" s="332" t="s">
        <v>376</v>
      </c>
      <c r="BO12" s="332">
        <v>0.87876114180294196</v>
      </c>
      <c r="BP12" s="332">
        <v>1</v>
      </c>
      <c r="BQ12" s="332">
        <v>234</v>
      </c>
      <c r="BR12" s="332" t="s">
        <v>377</v>
      </c>
      <c r="BS12" s="332" t="s">
        <v>378</v>
      </c>
      <c r="BT12" s="332">
        <v>2</v>
      </c>
      <c r="BU12" s="332">
        <v>20</v>
      </c>
    </row>
    <row r="13" spans="1:78" s="332" customFormat="1">
      <c r="A13" s="332">
        <v>11</v>
      </c>
      <c r="B13" s="333">
        <v>43250.951331018521</v>
      </c>
      <c r="C13" s="332">
        <v>577.9375</v>
      </c>
      <c r="D13" s="332">
        <v>1224.22510475287</v>
      </c>
      <c r="E13" s="334">
        <v>2.05339170021426E-5</v>
      </c>
      <c r="F13" s="332">
        <v>566.12173032480905</v>
      </c>
      <c r="G13" s="332">
        <v>88.247576206459797</v>
      </c>
      <c r="H13" s="332">
        <v>39.627000000000002</v>
      </c>
      <c r="I13" s="332">
        <v>350.08</v>
      </c>
      <c r="J13" s="332">
        <v>13.87262016</v>
      </c>
      <c r="K13" s="332" t="s">
        <v>367</v>
      </c>
      <c r="L13" s="332" t="s">
        <v>368</v>
      </c>
      <c r="M13" s="332" t="s">
        <v>368</v>
      </c>
      <c r="N13" s="332" t="s">
        <v>368</v>
      </c>
      <c r="O13" s="332" t="s">
        <v>368</v>
      </c>
      <c r="P13" s="332">
        <v>1303.92491567037</v>
      </c>
      <c r="Q13" s="332">
        <v>1224.22510475287</v>
      </c>
      <c r="R13" s="332">
        <v>493.17774170259901</v>
      </c>
      <c r="S13" s="332">
        <v>0.43157347309876498</v>
      </c>
      <c r="T13" s="332">
        <v>0.40519440495641401</v>
      </c>
      <c r="U13" s="332">
        <v>0.24664209720730401</v>
      </c>
      <c r="V13" s="332">
        <v>0.34734988609544898</v>
      </c>
      <c r="W13" s="332">
        <v>0.24664209720730401</v>
      </c>
      <c r="X13" s="332">
        <v>0.52102482914317305</v>
      </c>
      <c r="Y13" s="332">
        <v>581.98794960774899</v>
      </c>
      <c r="Z13" s="332">
        <v>51.173009879376103</v>
      </c>
      <c r="AA13" s="332">
        <v>3101.4431471799699</v>
      </c>
      <c r="AB13" s="332">
        <v>1.22338718616171</v>
      </c>
      <c r="AC13" s="332">
        <v>93.659901406833399</v>
      </c>
      <c r="AD13" s="332">
        <v>93.962348886840303</v>
      </c>
      <c r="AE13" s="332">
        <v>95.682545657593494</v>
      </c>
      <c r="AF13" s="332">
        <v>97.499549206773906</v>
      </c>
      <c r="AG13" s="332">
        <v>95.426369712844803</v>
      </c>
      <c r="AH13" s="332">
        <v>94.206315290802806</v>
      </c>
      <c r="AI13" s="332">
        <v>96.191863583631402</v>
      </c>
      <c r="AJ13" s="332">
        <v>93.180132275103801</v>
      </c>
      <c r="AK13" s="332">
        <v>83.1300866410769</v>
      </c>
      <c r="AL13" s="332">
        <v>59.462165807910701</v>
      </c>
      <c r="AM13" s="332">
        <v>90.391615080952107</v>
      </c>
      <c r="AN13" s="332">
        <v>96.941026541486593</v>
      </c>
      <c r="AO13" s="332">
        <v>89.218975849149899</v>
      </c>
      <c r="AP13" s="332">
        <v>94.324912943867801</v>
      </c>
      <c r="AQ13" s="332">
        <v>98.077799558347706</v>
      </c>
      <c r="AR13" s="332">
        <v>88.9312960303415</v>
      </c>
      <c r="AS13" s="332">
        <v>4.1654242554955001</v>
      </c>
      <c r="AT13" s="332">
        <v>617.79100663209897</v>
      </c>
      <c r="AU13" s="332">
        <v>447.04928691012299</v>
      </c>
      <c r="AV13" s="332">
        <v>374.62181053372598</v>
      </c>
      <c r="AW13" s="332" t="s">
        <v>368</v>
      </c>
      <c r="AX13" s="332" t="s">
        <v>368</v>
      </c>
      <c r="AY13" s="332">
        <v>617.278051037458</v>
      </c>
      <c r="AZ13" s="332">
        <v>447.73490466016699</v>
      </c>
      <c r="BA13" s="332">
        <v>377.95417730423401</v>
      </c>
      <c r="BB13" s="332" t="s">
        <v>368</v>
      </c>
      <c r="BC13" s="332" t="s">
        <v>368</v>
      </c>
      <c r="BD13" s="332" t="s">
        <v>369</v>
      </c>
      <c r="BE13" s="332" t="s">
        <v>388</v>
      </c>
      <c r="BF13" s="332" t="s">
        <v>371</v>
      </c>
      <c r="BG13" s="332" t="s">
        <v>372</v>
      </c>
      <c r="BH13" s="332" t="s">
        <v>373</v>
      </c>
      <c r="BI13" s="332">
        <v>350</v>
      </c>
      <c r="BJ13" s="332">
        <v>45</v>
      </c>
      <c r="BK13" s="332" t="s">
        <v>374</v>
      </c>
      <c r="BL13" s="332" t="b">
        <v>0</v>
      </c>
      <c r="BM13" s="332" t="s">
        <v>375</v>
      </c>
      <c r="BN13" s="332" t="s">
        <v>376</v>
      </c>
      <c r="BO13" s="332">
        <v>0.87876114180294196</v>
      </c>
      <c r="BP13" s="332">
        <v>1</v>
      </c>
      <c r="BQ13" s="332">
        <v>234</v>
      </c>
      <c r="BR13" s="332" t="s">
        <v>377</v>
      </c>
      <c r="BS13" s="332" t="s">
        <v>378</v>
      </c>
      <c r="BT13" s="332">
        <v>2</v>
      </c>
      <c r="BU13" s="332">
        <v>20</v>
      </c>
    </row>
    <row r="14" spans="1:78" s="335" customFormat="1">
      <c r="A14" s="335">
        <v>12</v>
      </c>
      <c r="B14" s="336">
        <v>43250.952743055554</v>
      </c>
      <c r="C14" s="335">
        <v>699.59375</v>
      </c>
      <c r="D14" s="335">
        <v>1344.9225888937899</v>
      </c>
      <c r="E14" s="337">
        <v>2.2493122067807E-5</v>
      </c>
      <c r="F14" s="335">
        <v>542.62196152867</v>
      </c>
      <c r="G14" s="335">
        <v>83.109998849276707</v>
      </c>
      <c r="H14" s="335">
        <v>40.447000000000003</v>
      </c>
      <c r="I14" s="335">
        <v>400.09</v>
      </c>
      <c r="J14" s="335">
        <v>16.182440230000001</v>
      </c>
      <c r="K14" s="335" t="s">
        <v>367</v>
      </c>
      <c r="L14" s="335" t="s">
        <v>368</v>
      </c>
      <c r="M14" s="335" t="s">
        <v>368</v>
      </c>
      <c r="N14" s="335" t="s">
        <v>368</v>
      </c>
      <c r="O14" s="335" t="s">
        <v>368</v>
      </c>
      <c r="P14" s="335">
        <v>1430.32385227133</v>
      </c>
      <c r="Q14" s="335">
        <v>1344.9225888937899</v>
      </c>
      <c r="R14" s="335">
        <v>544.44821113786395</v>
      </c>
      <c r="S14" s="335">
        <v>0.43086006457824799</v>
      </c>
      <c r="T14" s="335">
        <v>0.40513442643309699</v>
      </c>
      <c r="U14" s="335">
        <v>0.24620951509651601</v>
      </c>
      <c r="V14" s="335">
        <v>0.34726338856202799</v>
      </c>
      <c r="W14" s="335">
        <v>0.24620951509651601</v>
      </c>
      <c r="X14" s="335">
        <v>0.52089508284304198</v>
      </c>
      <c r="Y14" s="335">
        <v>581.90665661187302</v>
      </c>
      <c r="Z14" s="335">
        <v>50.940793338718102</v>
      </c>
      <c r="AA14" s="335">
        <v>3113.60359387175</v>
      </c>
      <c r="AB14" s="335">
        <v>1.3091733181577301</v>
      </c>
      <c r="AC14" s="335">
        <v>93.425962852685103</v>
      </c>
      <c r="AD14" s="335">
        <v>93.642728008663696</v>
      </c>
      <c r="AE14" s="335">
        <v>95.521977981869398</v>
      </c>
      <c r="AF14" s="335">
        <v>97.511431142069398</v>
      </c>
      <c r="AG14" s="335">
        <v>95.234360315177895</v>
      </c>
      <c r="AH14" s="335">
        <v>93.891496228086396</v>
      </c>
      <c r="AI14" s="335">
        <v>95.968632036495407</v>
      </c>
      <c r="AJ14" s="335">
        <v>93.029842987245701</v>
      </c>
      <c r="AK14" s="335">
        <v>82.607234121872807</v>
      </c>
      <c r="AL14" s="335">
        <v>58.168717242221298</v>
      </c>
      <c r="AM14" s="335">
        <v>89.998141079044899</v>
      </c>
      <c r="AN14" s="335">
        <v>96.944854013386504</v>
      </c>
      <c r="AO14" s="335">
        <v>88.763453614864204</v>
      </c>
      <c r="AP14" s="335">
        <v>94.041794759845303</v>
      </c>
      <c r="AQ14" s="335">
        <v>98.093752116694006</v>
      </c>
      <c r="AR14" s="335">
        <v>88.533620852018203</v>
      </c>
      <c r="AS14" s="335">
        <v>4.5672596564632304</v>
      </c>
      <c r="AT14" s="335">
        <v>617.26637170806703</v>
      </c>
      <c r="AU14" s="335">
        <v>447.29144877320198</v>
      </c>
      <c r="AV14" s="335">
        <v>367.39715365394602</v>
      </c>
      <c r="AW14" s="335" t="s">
        <v>368</v>
      </c>
      <c r="AX14" s="335" t="s">
        <v>368</v>
      </c>
      <c r="AY14" s="335">
        <v>616.073501062432</v>
      </c>
      <c r="AZ14" s="335">
        <v>447.73490466016699</v>
      </c>
      <c r="BA14" s="335">
        <v>363.77417966367898</v>
      </c>
      <c r="BB14" s="335" t="s">
        <v>368</v>
      </c>
      <c r="BC14" s="335" t="s">
        <v>368</v>
      </c>
      <c r="BD14" s="335" t="s">
        <v>369</v>
      </c>
      <c r="BE14" s="335" t="s">
        <v>389</v>
      </c>
      <c r="BF14" s="335" t="s">
        <v>371</v>
      </c>
      <c r="BG14" s="335" t="s">
        <v>372</v>
      </c>
      <c r="BH14" s="335" t="s">
        <v>373</v>
      </c>
      <c r="BI14" s="335">
        <v>400</v>
      </c>
      <c r="BJ14" s="335">
        <v>45</v>
      </c>
      <c r="BK14" s="335" t="s">
        <v>374</v>
      </c>
      <c r="BL14" s="335" t="b">
        <v>0</v>
      </c>
      <c r="BM14" s="335" t="s">
        <v>375</v>
      </c>
      <c r="BN14" s="335" t="s">
        <v>376</v>
      </c>
      <c r="BO14" s="335">
        <v>0.87876114180294196</v>
      </c>
      <c r="BP14" s="335">
        <v>1</v>
      </c>
      <c r="BQ14" s="335">
        <v>234</v>
      </c>
      <c r="BR14" s="335" t="s">
        <v>377</v>
      </c>
      <c r="BS14" s="335" t="s">
        <v>378</v>
      </c>
      <c r="BT14" s="335">
        <v>2</v>
      </c>
      <c r="BU14" s="335">
        <v>20</v>
      </c>
    </row>
    <row r="15" spans="1:78" s="338" customFormat="1">
      <c r="A15" s="338">
        <v>13</v>
      </c>
      <c r="B15" s="339">
        <v>43250.969930555555</v>
      </c>
      <c r="C15" s="338">
        <v>2184.703125</v>
      </c>
      <c r="D15" s="338">
        <v>731.968026079065</v>
      </c>
      <c r="E15" s="340">
        <v>1.2299654917097E-5</v>
      </c>
      <c r="F15" s="338">
        <v>678.35607706714995</v>
      </c>
      <c r="G15" s="338">
        <v>112.989641090208</v>
      </c>
      <c r="H15" s="338">
        <v>37.018000000000001</v>
      </c>
      <c r="I15" s="338">
        <v>175.001</v>
      </c>
      <c r="J15" s="338">
        <v>6.4781870179999999</v>
      </c>
      <c r="K15" s="338" t="s">
        <v>367</v>
      </c>
      <c r="L15" s="338" t="s">
        <v>368</v>
      </c>
      <c r="M15" s="338" t="s">
        <v>368</v>
      </c>
      <c r="N15" s="338" t="s">
        <v>368</v>
      </c>
      <c r="O15" s="338" t="s">
        <v>368</v>
      </c>
      <c r="P15" s="338">
        <v>771.88010665519903</v>
      </c>
      <c r="Q15" s="338">
        <v>731.968026079065</v>
      </c>
      <c r="R15" s="338">
        <v>275.58549103317603</v>
      </c>
      <c r="S15" s="338">
        <v>0.43377853286876999</v>
      </c>
      <c r="T15" s="338">
        <v>0.41134887882433802</v>
      </c>
      <c r="U15" s="338">
        <v>0.245466838564178</v>
      </c>
      <c r="V15" s="338">
        <v>0.34916150010059299</v>
      </c>
      <c r="W15" s="338">
        <v>0.245466838564178</v>
      </c>
      <c r="X15" s="338">
        <v>0.52374225015089004</v>
      </c>
      <c r="Y15" s="338">
        <v>581.23004626081899</v>
      </c>
      <c r="Z15" s="338">
        <v>53.6904098473969</v>
      </c>
      <c r="AA15" s="338">
        <v>3112.3759901367598</v>
      </c>
      <c r="AB15" s="338">
        <v>3.3469347574326398</v>
      </c>
      <c r="AC15" s="338">
        <v>94.296128493903097</v>
      </c>
      <c r="AD15" s="338">
        <v>94.577834992701298</v>
      </c>
      <c r="AE15" s="338">
        <v>95.206943922923003</v>
      </c>
      <c r="AF15" s="338">
        <v>96.198699741755902</v>
      </c>
      <c r="AG15" s="338">
        <v>96.422431135088701</v>
      </c>
      <c r="AH15" s="338">
        <v>94.564685740472996</v>
      </c>
      <c r="AI15" s="338">
        <v>95.660381859327103</v>
      </c>
      <c r="AJ15" s="338">
        <v>95.118240828650102</v>
      </c>
      <c r="AK15" s="338">
        <v>86.619809730305306</v>
      </c>
      <c r="AL15" s="338">
        <v>66.078824968236603</v>
      </c>
      <c r="AM15" s="338">
        <v>89.641472178729401</v>
      </c>
      <c r="AN15" s="338">
        <v>97.260205351545906</v>
      </c>
      <c r="AO15" s="338">
        <v>88.230192134655795</v>
      </c>
      <c r="AP15" s="338">
        <v>94.446036660247501</v>
      </c>
      <c r="AQ15" s="338">
        <v>97.408518572896398</v>
      </c>
      <c r="AR15" s="338">
        <v>89.9679886689878</v>
      </c>
      <c r="AS15" s="338">
        <v>2.4911653701612599</v>
      </c>
      <c r="AT15" s="338">
        <v>623.00115592586906</v>
      </c>
      <c r="AU15" s="338">
        <v>446.06493005272699</v>
      </c>
      <c r="AV15" s="338">
        <v>367.36967572704702</v>
      </c>
      <c r="AW15" s="338" t="s">
        <v>368</v>
      </c>
      <c r="AX15" s="338" t="s">
        <v>368</v>
      </c>
      <c r="AY15" s="338">
        <v>600.05262466617501</v>
      </c>
      <c r="AZ15" s="338">
        <v>446.54837957105002</v>
      </c>
      <c r="BA15" s="338">
        <v>367.31917907381802</v>
      </c>
      <c r="BB15" s="338" t="s">
        <v>368</v>
      </c>
      <c r="BC15" s="338" t="s">
        <v>368</v>
      </c>
      <c r="BD15" s="338" t="s">
        <v>369</v>
      </c>
      <c r="BE15" s="338" t="s">
        <v>390</v>
      </c>
      <c r="BF15" s="338" t="s">
        <v>371</v>
      </c>
      <c r="BG15" s="338" t="s">
        <v>372</v>
      </c>
      <c r="BH15" s="338" t="s">
        <v>373</v>
      </c>
      <c r="BI15" s="338">
        <v>175</v>
      </c>
      <c r="BJ15" s="338">
        <v>45</v>
      </c>
      <c r="BK15" s="338" t="s">
        <v>374</v>
      </c>
      <c r="BL15" s="338" t="b">
        <v>0</v>
      </c>
      <c r="BM15" s="338" t="s">
        <v>375</v>
      </c>
      <c r="BN15" s="338" t="s">
        <v>376</v>
      </c>
      <c r="BO15" s="338">
        <v>0.87876114180294196</v>
      </c>
      <c r="BP15" s="338">
        <v>1</v>
      </c>
      <c r="BQ15" s="338">
        <v>234</v>
      </c>
      <c r="BR15" s="338" t="s">
        <v>377</v>
      </c>
      <c r="BS15" s="338" t="s">
        <v>378</v>
      </c>
      <c r="BT15" s="338">
        <v>2</v>
      </c>
      <c r="BU15" s="338">
        <v>20</v>
      </c>
    </row>
    <row r="16" spans="1:78" s="332" customFormat="1">
      <c r="A16" s="332">
        <v>14</v>
      </c>
      <c r="B16" s="333">
        <v>43250.983067129629</v>
      </c>
      <c r="C16" s="332">
        <v>3320.296875</v>
      </c>
      <c r="D16" s="332">
        <v>702.88576855884696</v>
      </c>
      <c r="E16" s="334">
        <v>1.1938067124257101E-5</v>
      </c>
      <c r="F16" s="332">
        <v>658.42114992953896</v>
      </c>
      <c r="G16" s="332">
        <v>110.602039310305</v>
      </c>
      <c r="H16" s="332">
        <v>36.314999999999998</v>
      </c>
      <c r="I16" s="332">
        <v>174.999</v>
      </c>
      <c r="J16" s="332">
        <v>6.3550886850000001</v>
      </c>
      <c r="K16" s="332" t="s">
        <v>367</v>
      </c>
      <c r="L16" s="332" t="s">
        <v>368</v>
      </c>
      <c r="M16" s="332" t="s">
        <v>368</v>
      </c>
      <c r="N16" s="332" t="s">
        <v>368</v>
      </c>
      <c r="O16" s="332" t="s">
        <v>368</v>
      </c>
      <c r="P16" s="332">
        <v>753.79195550634699</v>
      </c>
      <c r="Q16" s="332">
        <v>702.88576855884696</v>
      </c>
      <c r="R16" s="332">
        <v>277.13081152392101</v>
      </c>
      <c r="S16" s="332">
        <v>0.43476078242412303</v>
      </c>
      <c r="T16" s="332">
        <v>0.405399877859074</v>
      </c>
      <c r="U16" s="332">
        <v>0.24860246953603901</v>
      </c>
      <c r="V16" s="332">
        <v>0.347720222912344</v>
      </c>
      <c r="W16" s="332">
        <v>0.24860246953603901</v>
      </c>
      <c r="X16" s="332">
        <v>0.52158033436851703</v>
      </c>
      <c r="Y16" s="332">
        <v>582.35316990612102</v>
      </c>
      <c r="Z16" s="332">
        <v>52.191646608356699</v>
      </c>
      <c r="AA16" s="332">
        <v>3047.5440311005</v>
      </c>
      <c r="AB16" s="332">
        <v>0.83167051801618697</v>
      </c>
      <c r="AC16" s="332">
        <v>94.642633802285303</v>
      </c>
      <c r="AD16" s="332">
        <v>95.256762232759797</v>
      </c>
      <c r="AE16" s="332">
        <v>96.523390619989001</v>
      </c>
      <c r="AF16" s="332">
        <v>97.710511471979103</v>
      </c>
      <c r="AG16" s="332">
        <v>96.181310954060706</v>
      </c>
      <c r="AH16" s="332">
        <v>95.490529337748399</v>
      </c>
      <c r="AI16" s="332">
        <v>97.164156850909805</v>
      </c>
      <c r="AJ16" s="332">
        <v>93.751655873157702</v>
      </c>
      <c r="AK16" s="332">
        <v>85.062753077677897</v>
      </c>
      <c r="AL16" s="332">
        <v>64.408234298065395</v>
      </c>
      <c r="AM16" s="332">
        <v>92.278467365034302</v>
      </c>
      <c r="AN16" s="332">
        <v>96.646180072054904</v>
      </c>
      <c r="AO16" s="332">
        <v>90.787944043385195</v>
      </c>
      <c r="AP16" s="332">
        <v>95.562845957409493</v>
      </c>
      <c r="AQ16" s="332">
        <v>98.139149797751699</v>
      </c>
      <c r="AR16" s="332">
        <v>90.556984589737795</v>
      </c>
      <c r="AS16" s="332">
        <v>2.4155807285487998</v>
      </c>
      <c r="AT16" s="332">
        <v>622.14385202635594</v>
      </c>
      <c r="AU16" s="332">
        <v>446.95182277115799</v>
      </c>
      <c r="AV16" s="332">
        <v>361.47203632926897</v>
      </c>
      <c r="AW16" s="332" t="s">
        <v>368</v>
      </c>
      <c r="AX16" s="332" t="s">
        <v>368</v>
      </c>
      <c r="AY16" s="332">
        <v>622.09625093756495</v>
      </c>
      <c r="AZ16" s="332">
        <v>447.73490466016699</v>
      </c>
      <c r="BA16" s="332">
        <v>362.59251319363301</v>
      </c>
      <c r="BB16" s="332" t="s">
        <v>368</v>
      </c>
      <c r="BC16" s="332" t="s">
        <v>368</v>
      </c>
      <c r="BD16" s="332" t="s">
        <v>369</v>
      </c>
      <c r="BE16" s="332" t="s">
        <v>383</v>
      </c>
      <c r="BF16" s="332" t="s">
        <v>371</v>
      </c>
      <c r="BG16" s="332" t="s">
        <v>372</v>
      </c>
      <c r="BH16" s="332" t="s">
        <v>373</v>
      </c>
      <c r="BI16" s="332">
        <v>175</v>
      </c>
      <c r="BJ16" s="332">
        <v>45</v>
      </c>
      <c r="BK16" s="332" t="s">
        <v>374</v>
      </c>
      <c r="BL16" s="332" t="b">
        <v>0</v>
      </c>
      <c r="BM16" s="332" t="s">
        <v>375</v>
      </c>
      <c r="BN16" s="332" t="s">
        <v>376</v>
      </c>
      <c r="BO16" s="332">
        <v>0.87876114180294196</v>
      </c>
      <c r="BP16" s="332">
        <v>1</v>
      </c>
      <c r="BQ16" s="332">
        <v>234</v>
      </c>
      <c r="BR16" s="332" t="s">
        <v>377</v>
      </c>
      <c r="BS16" s="332" t="s">
        <v>378</v>
      </c>
      <c r="BT16" s="332">
        <v>2</v>
      </c>
      <c r="BU16" s="332">
        <v>20</v>
      </c>
    </row>
    <row r="17" spans="1:73" s="332" customFormat="1">
      <c r="A17" s="332">
        <v>15</v>
      </c>
      <c r="B17" s="333">
        <v>43250.995868055557</v>
      </c>
      <c r="C17" s="332">
        <v>4425.96875</v>
      </c>
      <c r="D17" s="332">
        <v>679.77923643760505</v>
      </c>
      <c r="E17" s="334">
        <v>1.15165979264814E-5</v>
      </c>
      <c r="F17" s="332">
        <v>635.17219672009105</v>
      </c>
      <c r="G17" s="332">
        <v>108.26837559628299</v>
      </c>
      <c r="H17" s="332">
        <v>35.878</v>
      </c>
      <c r="I17" s="332">
        <v>175</v>
      </c>
      <c r="J17" s="332">
        <v>6.2786499999999998</v>
      </c>
      <c r="K17" s="332" t="s">
        <v>367</v>
      </c>
      <c r="L17" s="332" t="s">
        <v>368</v>
      </c>
      <c r="M17" s="332" t="s">
        <v>368</v>
      </c>
      <c r="N17" s="332" t="s">
        <v>368</v>
      </c>
      <c r="O17" s="332" t="s">
        <v>368</v>
      </c>
      <c r="P17" s="332">
        <v>730.289537595448</v>
      </c>
      <c r="Q17" s="332">
        <v>679.77923643760505</v>
      </c>
      <c r="R17" s="332">
        <v>268.52975222464698</v>
      </c>
      <c r="S17" s="332">
        <v>0.43505908421328698</v>
      </c>
      <c r="T17" s="332">
        <v>0.40496832673451599</v>
      </c>
      <c r="U17" s="332">
        <v>0.24897859654426499</v>
      </c>
      <c r="V17" s="332">
        <v>0.34763707721756698</v>
      </c>
      <c r="W17" s="332">
        <v>0.24897859654426499</v>
      </c>
      <c r="X17" s="332">
        <v>0.52145561582635103</v>
      </c>
      <c r="Y17" s="332">
        <v>582.46512269788104</v>
      </c>
      <c r="Z17" s="332">
        <v>52.151073211978598</v>
      </c>
      <c r="AA17" s="332">
        <v>3038.9037410845299</v>
      </c>
      <c r="AB17" s="332">
        <v>0.61621321504250404</v>
      </c>
      <c r="AC17" s="332">
        <v>94.379370096548101</v>
      </c>
      <c r="AD17" s="332">
        <v>94.832663795433305</v>
      </c>
      <c r="AE17" s="332">
        <v>96.690872039007402</v>
      </c>
      <c r="AF17" s="332">
        <v>98.378688678170406</v>
      </c>
      <c r="AG17" s="332">
        <v>96.085247925178393</v>
      </c>
      <c r="AH17" s="332">
        <v>95.178209690823905</v>
      </c>
      <c r="AI17" s="332">
        <v>97.227915838599401</v>
      </c>
      <c r="AJ17" s="332">
        <v>93.111873769779393</v>
      </c>
      <c r="AK17" s="332">
        <v>83.5294890353927</v>
      </c>
      <c r="AL17" s="332">
        <v>61.357563088552602</v>
      </c>
      <c r="AM17" s="332">
        <v>92.536487725733295</v>
      </c>
      <c r="AN17" s="332">
        <v>97.216297924937194</v>
      </c>
      <c r="AO17" s="332">
        <v>90.191446915736805</v>
      </c>
      <c r="AP17" s="332">
        <v>95.370744497873304</v>
      </c>
      <c r="AQ17" s="332">
        <v>98.520938303231702</v>
      </c>
      <c r="AR17" s="332">
        <v>89.884716923963097</v>
      </c>
      <c r="AS17" s="332">
        <v>2.32988490307517</v>
      </c>
      <c r="AT17" s="332">
        <v>617.19197557658299</v>
      </c>
      <c r="AU17" s="332">
        <v>448.81150899948102</v>
      </c>
      <c r="AV17" s="332">
        <v>367.23808442824901</v>
      </c>
      <c r="AW17" s="332" t="s">
        <v>368</v>
      </c>
      <c r="AX17" s="332" t="s">
        <v>368</v>
      </c>
      <c r="AY17" s="332">
        <v>617.278051037458</v>
      </c>
      <c r="AZ17" s="332">
        <v>448.92142974928299</v>
      </c>
      <c r="BA17" s="332">
        <v>362.59251319363301</v>
      </c>
      <c r="BB17" s="332" t="s">
        <v>368</v>
      </c>
      <c r="BC17" s="332" t="s">
        <v>368</v>
      </c>
      <c r="BD17" s="332" t="s">
        <v>369</v>
      </c>
      <c r="BE17" s="332" t="s">
        <v>391</v>
      </c>
      <c r="BF17" s="332" t="s">
        <v>371</v>
      </c>
      <c r="BG17" s="332" t="s">
        <v>372</v>
      </c>
      <c r="BH17" s="332" t="s">
        <v>373</v>
      </c>
      <c r="BI17" s="332">
        <v>175</v>
      </c>
      <c r="BJ17" s="332">
        <v>45</v>
      </c>
      <c r="BK17" s="332" t="s">
        <v>374</v>
      </c>
      <c r="BL17" s="332" t="b">
        <v>0</v>
      </c>
      <c r="BM17" s="332" t="s">
        <v>375</v>
      </c>
      <c r="BN17" s="332" t="s">
        <v>376</v>
      </c>
      <c r="BO17" s="332">
        <v>0.87876114180294196</v>
      </c>
      <c r="BP17" s="332">
        <v>1</v>
      </c>
      <c r="BQ17" s="332">
        <v>234</v>
      </c>
      <c r="BR17" s="332" t="s">
        <v>377</v>
      </c>
      <c r="BS17" s="332" t="s">
        <v>378</v>
      </c>
      <c r="BT17" s="332">
        <v>2</v>
      </c>
      <c r="BU17" s="332">
        <v>20</v>
      </c>
    </row>
    <row r="18" spans="1:73" s="332" customFormat="1">
      <c r="A18" s="332">
        <v>16</v>
      </c>
      <c r="B18" s="333">
        <v>43251.001851851855</v>
      </c>
      <c r="C18" s="332">
        <v>4942.90625</v>
      </c>
      <c r="D18" s="332">
        <v>651.96678803099599</v>
      </c>
      <c r="E18" s="334">
        <v>1.10057023915763E-5</v>
      </c>
      <c r="F18" s="332">
        <v>606.99142781156695</v>
      </c>
      <c r="G18" s="332">
        <v>104.964449735003</v>
      </c>
      <c r="H18" s="332">
        <v>35.493000000000002</v>
      </c>
      <c r="I18" s="332">
        <v>175.001</v>
      </c>
      <c r="J18" s="332">
        <v>6.211310493</v>
      </c>
      <c r="K18" s="332" t="s">
        <v>367</v>
      </c>
      <c r="L18" s="332" t="s">
        <v>368</v>
      </c>
      <c r="M18" s="332" t="s">
        <v>368</v>
      </c>
      <c r="N18" s="332" t="s">
        <v>368</v>
      </c>
      <c r="O18" s="332" t="s">
        <v>368</v>
      </c>
      <c r="P18" s="332">
        <v>700.74193886735998</v>
      </c>
      <c r="Q18" s="332">
        <v>651.96678803099599</v>
      </c>
      <c r="R18" s="332">
        <v>258.02542627840302</v>
      </c>
      <c r="S18" s="332">
        <v>0.43504506158593997</v>
      </c>
      <c r="T18" s="332">
        <v>0.40476374499488899</v>
      </c>
      <c r="U18" s="332">
        <v>0.24905705062265501</v>
      </c>
      <c r="V18" s="332">
        <v>0.347582147559304</v>
      </c>
      <c r="W18" s="332">
        <v>0.24905705062265501</v>
      </c>
      <c r="X18" s="332">
        <v>0.52137322133895703</v>
      </c>
      <c r="Y18" s="332">
        <v>582.49915990247996</v>
      </c>
      <c r="Z18" s="332">
        <v>52.085183991192203</v>
      </c>
      <c r="AA18" s="332">
        <v>3037.4751951425701</v>
      </c>
      <c r="AB18" s="332">
        <v>0.53638357263555403</v>
      </c>
      <c r="AC18" s="332">
        <v>93.932203905581602</v>
      </c>
      <c r="AD18" s="332">
        <v>94.210814675315603</v>
      </c>
      <c r="AE18" s="332">
        <v>96.744155882521596</v>
      </c>
      <c r="AF18" s="332">
        <v>98.967237865120595</v>
      </c>
      <c r="AG18" s="332">
        <v>95.592967067018193</v>
      </c>
      <c r="AH18" s="332">
        <v>94.629219240527704</v>
      </c>
      <c r="AI18" s="332">
        <v>97.182446464356005</v>
      </c>
      <c r="AJ18" s="332">
        <v>92.342859760197001</v>
      </c>
      <c r="AK18" s="332">
        <v>81.787930289596105</v>
      </c>
      <c r="AL18" s="332">
        <v>57.808761666203303</v>
      </c>
      <c r="AM18" s="332">
        <v>92.564108830431806</v>
      </c>
      <c r="AN18" s="332">
        <v>97.480583009077804</v>
      </c>
      <c r="AO18" s="332">
        <v>89.264918509363099</v>
      </c>
      <c r="AP18" s="332">
        <v>94.986156433588306</v>
      </c>
      <c r="AQ18" s="332">
        <v>98.928070042110704</v>
      </c>
      <c r="AR18" s="332">
        <v>88.979899305069395</v>
      </c>
      <c r="AS18" s="332">
        <v>2.2277714449022699</v>
      </c>
      <c r="AT18" s="332">
        <v>618.11133222550995</v>
      </c>
      <c r="AU18" s="332">
        <v>450.77690907077601</v>
      </c>
      <c r="AV18" s="332">
        <v>361.43764893772601</v>
      </c>
      <c r="AW18" s="332" t="s">
        <v>368</v>
      </c>
      <c r="AX18" s="332" t="s">
        <v>368</v>
      </c>
      <c r="AY18" s="332">
        <v>617.278051037458</v>
      </c>
      <c r="AZ18" s="332">
        <v>450.10795483840002</v>
      </c>
      <c r="BA18" s="332">
        <v>361.41084672358699</v>
      </c>
      <c r="BB18" s="332" t="s">
        <v>368</v>
      </c>
      <c r="BC18" s="332" t="s">
        <v>368</v>
      </c>
      <c r="BD18" s="332" t="s">
        <v>369</v>
      </c>
      <c r="BE18" s="332" t="s">
        <v>392</v>
      </c>
      <c r="BF18" s="332" t="s">
        <v>371</v>
      </c>
      <c r="BG18" s="332" t="s">
        <v>372</v>
      </c>
      <c r="BH18" s="332" t="s">
        <v>373</v>
      </c>
      <c r="BI18" s="332">
        <v>175</v>
      </c>
      <c r="BJ18" s="332">
        <v>45</v>
      </c>
      <c r="BK18" s="332" t="s">
        <v>374</v>
      </c>
      <c r="BL18" s="332" t="b">
        <v>0</v>
      </c>
      <c r="BM18" s="332" t="s">
        <v>375</v>
      </c>
      <c r="BN18" s="332" t="s">
        <v>376</v>
      </c>
      <c r="BO18" s="332">
        <v>0.87876114180294196</v>
      </c>
      <c r="BP18" s="332">
        <v>1</v>
      </c>
      <c r="BQ18" s="332">
        <v>234</v>
      </c>
      <c r="BR18" s="332" t="s">
        <v>377</v>
      </c>
      <c r="BS18" s="332" t="s">
        <v>378</v>
      </c>
      <c r="BT18" s="332">
        <v>2</v>
      </c>
      <c r="BU18" s="332">
        <v>20</v>
      </c>
    </row>
    <row r="19" spans="1:73" s="332" customFormat="1">
      <c r="A19" s="332">
        <v>17</v>
      </c>
      <c r="B19" s="333">
        <v>43251.003668981481</v>
      </c>
      <c r="C19" s="332">
        <v>5099.84375</v>
      </c>
      <c r="D19" s="332">
        <v>649.32493952459595</v>
      </c>
      <c r="E19" s="334">
        <v>1.0950565702984201E-5</v>
      </c>
      <c r="F19" s="332">
        <v>603.95395561206703</v>
      </c>
      <c r="G19" s="332">
        <v>104.622253654443</v>
      </c>
      <c r="H19" s="332">
        <v>35.465000000000003</v>
      </c>
      <c r="I19" s="332">
        <v>175</v>
      </c>
      <c r="J19" s="332">
        <v>6.2063750000000004</v>
      </c>
      <c r="K19" s="332" t="s">
        <v>367</v>
      </c>
      <c r="L19" s="332" t="s">
        <v>368</v>
      </c>
      <c r="M19" s="332" t="s">
        <v>368</v>
      </c>
      <c r="N19" s="332" t="s">
        <v>368</v>
      </c>
      <c r="O19" s="332" t="s">
        <v>368</v>
      </c>
      <c r="P19" s="332">
        <v>697.873865550029</v>
      </c>
      <c r="Q19" s="332">
        <v>649.32493952459595</v>
      </c>
      <c r="R19" s="332">
        <v>257.30231941075499</v>
      </c>
      <c r="S19" s="332">
        <v>0.43494757024483899</v>
      </c>
      <c r="T19" s="332">
        <v>0.40468961324838998</v>
      </c>
      <c r="U19" s="332">
        <v>0.24902599437325401</v>
      </c>
      <c r="V19" s="332">
        <v>0.34755303942143601</v>
      </c>
      <c r="W19" s="332">
        <v>0.24902599437325401</v>
      </c>
      <c r="X19" s="332">
        <v>0.52132955913215295</v>
      </c>
      <c r="Y19" s="332">
        <v>582.50014685077394</v>
      </c>
      <c r="Z19" s="332">
        <v>52.033571139646298</v>
      </c>
      <c r="AA19" s="332">
        <v>3038.5433529754901</v>
      </c>
      <c r="AB19" s="332">
        <v>0.520657585489256</v>
      </c>
      <c r="AC19" s="332">
        <v>93.907838430075103</v>
      </c>
      <c r="AD19" s="332">
        <v>94.186269604146304</v>
      </c>
      <c r="AE19" s="332">
        <v>96.755766722325006</v>
      </c>
      <c r="AF19" s="332">
        <v>98.996695453904195</v>
      </c>
      <c r="AG19" s="332">
        <v>95.563361504557193</v>
      </c>
      <c r="AH19" s="332">
        <v>94.608146731848905</v>
      </c>
      <c r="AI19" s="332">
        <v>97.179203784789095</v>
      </c>
      <c r="AJ19" s="332">
        <v>92.290007251231103</v>
      </c>
      <c r="AK19" s="332">
        <v>81.683256387799304</v>
      </c>
      <c r="AL19" s="332">
        <v>57.597323520681499</v>
      </c>
      <c r="AM19" s="332">
        <v>92.583943214614095</v>
      </c>
      <c r="AN19" s="332">
        <v>97.476356735988702</v>
      </c>
      <c r="AO19" s="332">
        <v>89.2019325617823</v>
      </c>
      <c r="AP19" s="332">
        <v>94.976973356898498</v>
      </c>
      <c r="AQ19" s="332">
        <v>98.954016381583102</v>
      </c>
      <c r="AR19" s="332">
        <v>88.9360046235483</v>
      </c>
      <c r="AS19" s="332">
        <v>2.2154913814091</v>
      </c>
      <c r="AT19" s="332">
        <v>617.27940129931198</v>
      </c>
      <c r="AU19" s="332">
        <v>450.80720972571902</v>
      </c>
      <c r="AV19" s="332">
        <v>361.30733817769902</v>
      </c>
      <c r="AW19" s="332" t="s">
        <v>368</v>
      </c>
      <c r="AX19" s="332" t="s">
        <v>368</v>
      </c>
      <c r="AY19" s="332">
        <v>617.278051037458</v>
      </c>
      <c r="AZ19" s="332">
        <v>450.10795483840002</v>
      </c>
      <c r="BA19" s="332">
        <v>361.41084672358699</v>
      </c>
      <c r="BB19" s="332" t="s">
        <v>368</v>
      </c>
      <c r="BC19" s="332" t="s">
        <v>368</v>
      </c>
      <c r="BD19" s="332" t="s">
        <v>369</v>
      </c>
      <c r="BE19" s="332" t="s">
        <v>393</v>
      </c>
      <c r="BF19" s="332" t="s">
        <v>371</v>
      </c>
      <c r="BG19" s="332" t="s">
        <v>372</v>
      </c>
      <c r="BH19" s="332" t="s">
        <v>373</v>
      </c>
      <c r="BI19" s="332">
        <v>175</v>
      </c>
      <c r="BJ19" s="332">
        <v>45</v>
      </c>
      <c r="BK19" s="332" t="s">
        <v>374</v>
      </c>
      <c r="BL19" s="332" t="b">
        <v>0</v>
      </c>
      <c r="BM19" s="332" t="s">
        <v>375</v>
      </c>
      <c r="BN19" s="332" t="s">
        <v>376</v>
      </c>
      <c r="BO19" s="332">
        <v>0.87876114180294196</v>
      </c>
      <c r="BP19" s="332">
        <v>1</v>
      </c>
      <c r="BQ19" s="332">
        <v>234</v>
      </c>
      <c r="BR19" s="332" t="s">
        <v>377</v>
      </c>
      <c r="BS19" s="332" t="s">
        <v>378</v>
      </c>
      <c r="BT19" s="332">
        <v>2</v>
      </c>
      <c r="BU19" s="332">
        <v>20</v>
      </c>
    </row>
    <row r="20" spans="1:73" s="335" customFormat="1">
      <c r="A20" s="335">
        <v>18</v>
      </c>
      <c r="B20" s="336">
        <v>43251.007025462961</v>
      </c>
      <c r="C20" s="335">
        <v>5390.390625</v>
      </c>
      <c r="D20" s="335">
        <v>617.34039545782696</v>
      </c>
      <c r="E20" s="337">
        <v>1.0351610850861001E-5</v>
      </c>
      <c r="F20" s="335">
        <v>570.91994056805004</v>
      </c>
      <c r="G20" s="335">
        <v>100.408715527173</v>
      </c>
      <c r="H20" s="335">
        <v>35.133000000000003</v>
      </c>
      <c r="I20" s="335">
        <v>175</v>
      </c>
      <c r="J20" s="335">
        <v>6.1482749999999999</v>
      </c>
      <c r="K20" s="335" t="s">
        <v>367</v>
      </c>
      <c r="L20" s="335" t="s">
        <v>368</v>
      </c>
      <c r="M20" s="335" t="s">
        <v>368</v>
      </c>
      <c r="N20" s="335" t="s">
        <v>368</v>
      </c>
      <c r="O20" s="335" t="s">
        <v>368</v>
      </c>
      <c r="P20" s="335">
        <v>662.90309794542497</v>
      </c>
      <c r="Q20" s="335">
        <v>617.34039545782696</v>
      </c>
      <c r="R20" s="335">
        <v>245.74210704735199</v>
      </c>
      <c r="S20" s="335">
        <v>0.43440979898478599</v>
      </c>
      <c r="T20" s="335">
        <v>0.40455191403872598</v>
      </c>
      <c r="U20" s="335">
        <v>0.24873863516945599</v>
      </c>
      <c r="V20" s="335">
        <v>0.34746347062733202</v>
      </c>
      <c r="W20" s="335">
        <v>0.24873863516945599</v>
      </c>
      <c r="X20" s="335">
        <v>0.521195205940998</v>
      </c>
      <c r="Y20" s="335">
        <v>582.45791614333905</v>
      </c>
      <c r="Z20" s="335">
        <v>51.830640699986198</v>
      </c>
      <c r="AA20" s="335">
        <v>3046.6739676316902</v>
      </c>
      <c r="AB20" s="335">
        <v>0.54281990400221702</v>
      </c>
      <c r="AC20" s="335">
        <v>93.3195879561694</v>
      </c>
      <c r="AD20" s="335">
        <v>93.4795915406403</v>
      </c>
      <c r="AE20" s="335">
        <v>96.723540184288396</v>
      </c>
      <c r="AF20" s="335">
        <v>99.17645028714</v>
      </c>
      <c r="AG20" s="335">
        <v>94.719876897710606</v>
      </c>
      <c r="AH20" s="335">
        <v>93.903541311543094</v>
      </c>
      <c r="AI20" s="335">
        <v>97.030012387095496</v>
      </c>
      <c r="AJ20" s="335">
        <v>91.521562273152298</v>
      </c>
      <c r="AK20" s="335">
        <v>80.002128767784797</v>
      </c>
      <c r="AL20" s="335">
        <v>54.101283331491302</v>
      </c>
      <c r="AM20" s="335">
        <v>92.394256491566495</v>
      </c>
      <c r="AN20" s="335">
        <v>96.965159043293596</v>
      </c>
      <c r="AO20" s="335">
        <v>87.944410701293705</v>
      </c>
      <c r="AP20" s="335">
        <v>94.488911457615799</v>
      </c>
      <c r="AQ20" s="335">
        <v>99.308047949693901</v>
      </c>
      <c r="AR20" s="335">
        <v>87.992024931615205</v>
      </c>
      <c r="AS20" s="335">
        <v>2.0966978806602699</v>
      </c>
      <c r="AT20" s="335">
        <v>615.15117718186104</v>
      </c>
      <c r="AU20" s="335">
        <v>451.67036053365302</v>
      </c>
      <c r="AV20" s="335">
        <v>363.41306195509998</v>
      </c>
      <c r="AW20" s="335" t="s">
        <v>368</v>
      </c>
      <c r="AX20" s="335" t="s">
        <v>368</v>
      </c>
      <c r="AY20" s="335">
        <v>596.28588110795101</v>
      </c>
      <c r="AZ20" s="335">
        <v>452.48100501663401</v>
      </c>
      <c r="BA20" s="335">
        <v>362.59251319363301</v>
      </c>
      <c r="BB20" s="335" t="s">
        <v>368</v>
      </c>
      <c r="BC20" s="335" t="s">
        <v>368</v>
      </c>
      <c r="BD20" s="335" t="s">
        <v>369</v>
      </c>
      <c r="BE20" s="335" t="s">
        <v>394</v>
      </c>
      <c r="BF20" s="335" t="s">
        <v>371</v>
      </c>
      <c r="BG20" s="335" t="s">
        <v>372</v>
      </c>
      <c r="BH20" s="335" t="s">
        <v>373</v>
      </c>
      <c r="BI20" s="335">
        <v>175</v>
      </c>
      <c r="BJ20" s="335">
        <v>45</v>
      </c>
      <c r="BK20" s="335" t="s">
        <v>374</v>
      </c>
      <c r="BL20" s="335" t="b">
        <v>0</v>
      </c>
      <c r="BM20" s="335" t="s">
        <v>375</v>
      </c>
      <c r="BN20" s="335" t="s">
        <v>376</v>
      </c>
      <c r="BO20" s="335">
        <v>0.87876114180294196</v>
      </c>
      <c r="BP20" s="335">
        <v>1</v>
      </c>
      <c r="BQ20" s="335">
        <v>234</v>
      </c>
      <c r="BR20" s="335" t="s">
        <v>377</v>
      </c>
      <c r="BS20" s="335" t="s">
        <v>378</v>
      </c>
      <c r="BT20" s="335">
        <v>2</v>
      </c>
      <c r="BU20" s="335">
        <v>20</v>
      </c>
    </row>
    <row r="21" spans="1:73" s="335" customFormat="1">
      <c r="A21" s="335">
        <v>19</v>
      </c>
      <c r="B21" s="336">
        <v>43251.013923611114</v>
      </c>
      <c r="C21" s="335">
        <v>5986.203125</v>
      </c>
      <c r="D21" s="335">
        <v>583.671571514535</v>
      </c>
      <c r="E21" s="337">
        <v>9.7232512426506108E-6</v>
      </c>
      <c r="F21" s="335">
        <v>536.25804331531197</v>
      </c>
      <c r="G21" s="335">
        <v>95.779335076925506</v>
      </c>
      <c r="H21" s="335">
        <v>34.822000000000003</v>
      </c>
      <c r="I21" s="335">
        <v>175.00200000000001</v>
      </c>
      <c r="J21" s="335">
        <v>6.0939196439999996</v>
      </c>
      <c r="K21" s="335" t="s">
        <v>367</v>
      </c>
      <c r="L21" s="335" t="s">
        <v>368</v>
      </c>
      <c r="M21" s="335" t="s">
        <v>368</v>
      </c>
      <c r="N21" s="335" t="s">
        <v>368</v>
      </c>
      <c r="O21" s="335" t="s">
        <v>368</v>
      </c>
      <c r="P21" s="335">
        <v>625.11075240978005</v>
      </c>
      <c r="Q21" s="335">
        <v>583.671571514535</v>
      </c>
      <c r="R21" s="335">
        <v>234.07883851426601</v>
      </c>
      <c r="S21" s="335">
        <v>0.43324386897577899</v>
      </c>
      <c r="T21" s="335">
        <v>0.40452372460290698</v>
      </c>
      <c r="U21" s="335">
        <v>0.24800026195621599</v>
      </c>
      <c r="V21" s="335">
        <v>0.34734013630542798</v>
      </c>
      <c r="W21" s="335">
        <v>0.24800026195621599</v>
      </c>
      <c r="X21" s="335">
        <v>0.52101020445814095</v>
      </c>
      <c r="Y21" s="335">
        <v>582.31754443053399</v>
      </c>
      <c r="Z21" s="335">
        <v>51.472181668035297</v>
      </c>
      <c r="AA21" s="335">
        <v>3066.6565590714699</v>
      </c>
      <c r="AB21" s="335">
        <v>0.70189260397489905</v>
      </c>
      <c r="AC21" s="335">
        <v>92.793087211003595</v>
      </c>
      <c r="AD21" s="335">
        <v>92.908556795718994</v>
      </c>
      <c r="AE21" s="335">
        <v>96.721769637162296</v>
      </c>
      <c r="AF21" s="335">
        <v>98.977601468195104</v>
      </c>
      <c r="AG21" s="335">
        <v>93.883299773959706</v>
      </c>
      <c r="AH21" s="335">
        <v>93.2993363645339</v>
      </c>
      <c r="AI21" s="335">
        <v>96.943999134372007</v>
      </c>
      <c r="AJ21" s="335">
        <v>90.910663700017395</v>
      </c>
      <c r="AK21" s="335">
        <v>78.699470814069301</v>
      </c>
      <c r="AL21" s="335">
        <v>51.351726502866498</v>
      </c>
      <c r="AM21" s="335">
        <v>92.295754237094897</v>
      </c>
      <c r="AN21" s="335">
        <v>96.121608149573504</v>
      </c>
      <c r="AO21" s="335">
        <v>86.799352821779095</v>
      </c>
      <c r="AP21" s="335">
        <v>94.099337426960801</v>
      </c>
      <c r="AQ21" s="335">
        <v>99.641219933200404</v>
      </c>
      <c r="AR21" s="335">
        <v>87.224392738362098</v>
      </c>
      <c r="AS21" s="335">
        <v>1.97203577237358</v>
      </c>
      <c r="AT21" s="335">
        <v>615.24933602636497</v>
      </c>
      <c r="AU21" s="335">
        <v>453.55528674192698</v>
      </c>
      <c r="AV21" s="335">
        <v>373.81858779910698</v>
      </c>
      <c r="AW21" s="335" t="s">
        <v>368</v>
      </c>
      <c r="AX21" s="335" t="s">
        <v>368</v>
      </c>
      <c r="AY21" s="335">
        <v>595.34881657150595</v>
      </c>
      <c r="AZ21" s="335">
        <v>453.66753010575098</v>
      </c>
      <c r="BA21" s="335">
        <v>374.40917789409599</v>
      </c>
      <c r="BB21" s="335" t="s">
        <v>368</v>
      </c>
      <c r="BC21" s="335" t="s">
        <v>368</v>
      </c>
      <c r="BD21" s="335" t="s">
        <v>369</v>
      </c>
      <c r="BE21" s="335" t="s">
        <v>395</v>
      </c>
      <c r="BF21" s="335" t="s">
        <v>371</v>
      </c>
      <c r="BG21" s="335" t="s">
        <v>372</v>
      </c>
      <c r="BH21" s="335" t="s">
        <v>373</v>
      </c>
      <c r="BI21" s="335">
        <v>175</v>
      </c>
      <c r="BJ21" s="335">
        <v>45</v>
      </c>
      <c r="BK21" s="335" t="s">
        <v>374</v>
      </c>
      <c r="BL21" s="335" t="b">
        <v>0</v>
      </c>
      <c r="BM21" s="335" t="s">
        <v>375</v>
      </c>
      <c r="BN21" s="335" t="s">
        <v>376</v>
      </c>
      <c r="BO21" s="335">
        <v>0.87876114180294196</v>
      </c>
      <c r="BP21" s="335">
        <v>1</v>
      </c>
      <c r="BQ21" s="335">
        <v>234</v>
      </c>
      <c r="BR21" s="335" t="s">
        <v>377</v>
      </c>
      <c r="BS21" s="335" t="s">
        <v>378</v>
      </c>
      <c r="BT21" s="335">
        <v>2</v>
      </c>
      <c r="BU21" s="335">
        <v>20</v>
      </c>
    </row>
    <row r="22" spans="1:73" s="335" customFormat="1">
      <c r="A22" s="335">
        <v>20</v>
      </c>
      <c r="B22" s="336">
        <v>43251.020532407405</v>
      </c>
      <c r="C22" s="335">
        <v>6557.390625</v>
      </c>
      <c r="D22" s="335">
        <v>543.91777000000195</v>
      </c>
      <c r="E22" s="337">
        <v>8.9803207789325494E-6</v>
      </c>
      <c r="F22" s="335">
        <v>495.28667393208002</v>
      </c>
      <c r="G22" s="335">
        <v>90.052841814289806</v>
      </c>
      <c r="H22" s="335">
        <v>34.514000000000003</v>
      </c>
      <c r="I22" s="335">
        <v>175.001</v>
      </c>
      <c r="J22" s="335">
        <v>6.0399845140000004</v>
      </c>
      <c r="K22" s="335" t="s">
        <v>367</v>
      </c>
      <c r="L22" s="335" t="s">
        <v>368</v>
      </c>
      <c r="M22" s="335" t="s">
        <v>368</v>
      </c>
      <c r="N22" s="335" t="s">
        <v>368</v>
      </c>
      <c r="O22" s="335" t="s">
        <v>368</v>
      </c>
      <c r="P22" s="335">
        <v>579.60799222293599</v>
      </c>
      <c r="Q22" s="335">
        <v>543.91777000000195</v>
      </c>
      <c r="R22" s="335">
        <v>220.24850437676901</v>
      </c>
      <c r="S22" s="335">
        <v>0.43132839095779002</v>
      </c>
      <c r="T22" s="335">
        <v>0.40476870522036001</v>
      </c>
      <c r="U22" s="335">
        <v>0.24666478938858499</v>
      </c>
      <c r="V22" s="335">
        <v>0.34721405842042402</v>
      </c>
      <c r="W22" s="335">
        <v>0.24666478938858499</v>
      </c>
      <c r="X22" s="335">
        <v>0.52082108763063595</v>
      </c>
      <c r="Y22" s="335">
        <v>582.03126081946596</v>
      </c>
      <c r="Z22" s="335">
        <v>50.971101076326697</v>
      </c>
      <c r="AA22" s="335">
        <v>3102.3080806078701</v>
      </c>
      <c r="AB22" s="335">
        <v>1.0891807445945201</v>
      </c>
      <c r="AC22" s="335">
        <v>92.0149432822585</v>
      </c>
      <c r="AD22" s="335">
        <v>92.044772502112096</v>
      </c>
      <c r="AE22" s="335">
        <v>96.571009768497305</v>
      </c>
      <c r="AF22" s="335">
        <v>98.546182858108594</v>
      </c>
      <c r="AG22" s="335">
        <v>92.594940022032503</v>
      </c>
      <c r="AH22" s="335">
        <v>92.352389361778407</v>
      </c>
      <c r="AI22" s="335">
        <v>96.727546810593196</v>
      </c>
      <c r="AJ22" s="335">
        <v>90.193486251102001</v>
      </c>
      <c r="AK22" s="335">
        <v>77.089218683844294</v>
      </c>
      <c r="AL22" s="335">
        <v>47.7719693154786</v>
      </c>
      <c r="AM22" s="335">
        <v>91.850759296440202</v>
      </c>
      <c r="AN22" s="335">
        <v>94.589398351464098</v>
      </c>
      <c r="AO22" s="335">
        <v>85.195193052278896</v>
      </c>
      <c r="AP22" s="335">
        <v>93.437403755742096</v>
      </c>
      <c r="AQ22" s="335">
        <v>99.956404463044706</v>
      </c>
      <c r="AR22" s="335">
        <v>86.130532131734299</v>
      </c>
      <c r="AS22" s="335">
        <v>1.82465822590574</v>
      </c>
      <c r="AT22" s="335">
        <v>612.28520900242199</v>
      </c>
      <c r="AU22" s="335">
        <v>454.64764338878598</v>
      </c>
      <c r="AV22" s="335">
        <v>363.45466279451699</v>
      </c>
      <c r="AW22" s="335" t="s">
        <v>368</v>
      </c>
      <c r="AX22" s="335" t="s">
        <v>368</v>
      </c>
      <c r="AY22" s="335">
        <v>612.45985113735196</v>
      </c>
      <c r="AZ22" s="335">
        <v>454.85405519486801</v>
      </c>
      <c r="BA22" s="335">
        <v>363.77417966367898</v>
      </c>
      <c r="BB22" s="335" t="s">
        <v>368</v>
      </c>
      <c r="BC22" s="335" t="s">
        <v>368</v>
      </c>
      <c r="BD22" s="335" t="s">
        <v>369</v>
      </c>
      <c r="BE22" s="335" t="s">
        <v>396</v>
      </c>
      <c r="BF22" s="335" t="s">
        <v>371</v>
      </c>
      <c r="BG22" s="335" t="s">
        <v>372</v>
      </c>
      <c r="BH22" s="335" t="s">
        <v>373</v>
      </c>
      <c r="BI22" s="335">
        <v>175</v>
      </c>
      <c r="BJ22" s="335">
        <v>45</v>
      </c>
      <c r="BK22" s="335" t="s">
        <v>374</v>
      </c>
      <c r="BL22" s="335" t="b">
        <v>0</v>
      </c>
      <c r="BM22" s="335" t="s">
        <v>375</v>
      </c>
      <c r="BN22" s="335" t="s">
        <v>376</v>
      </c>
      <c r="BO22" s="335">
        <v>0.87876114180294196</v>
      </c>
      <c r="BP22" s="335">
        <v>1</v>
      </c>
      <c r="BQ22" s="335">
        <v>234</v>
      </c>
      <c r="BR22" s="335" t="s">
        <v>377</v>
      </c>
      <c r="BS22" s="335" t="s">
        <v>378</v>
      </c>
      <c r="BT22" s="335">
        <v>2</v>
      </c>
      <c r="BU22" s="335">
        <v>20</v>
      </c>
    </row>
    <row r="23" spans="1:73" s="331" customFormat="1">
      <c r="A23" s="331">
        <v>21</v>
      </c>
      <c r="B23" s="341">
        <v>43251.024560185186</v>
      </c>
      <c r="C23" s="331">
        <v>6904.546875</v>
      </c>
      <c r="D23" s="331">
        <v>522.430444835054</v>
      </c>
      <c r="E23" s="342">
        <v>8.5827134026807393E-6</v>
      </c>
      <c r="F23" s="331">
        <v>473.357653826628</v>
      </c>
      <c r="G23" s="331">
        <v>86.875411598901707</v>
      </c>
      <c r="H23" s="331">
        <v>34.363</v>
      </c>
      <c r="I23" s="331">
        <v>175.001</v>
      </c>
      <c r="J23" s="331">
        <v>6.0135593629999997</v>
      </c>
      <c r="K23" s="331" t="s">
        <v>367</v>
      </c>
      <c r="L23" s="331" t="s">
        <v>368</v>
      </c>
      <c r="M23" s="331" t="s">
        <v>368</v>
      </c>
      <c r="N23" s="331" t="s">
        <v>368</v>
      </c>
      <c r="O23" s="331" t="s">
        <v>368</v>
      </c>
      <c r="P23" s="331">
        <v>554.76707818248201</v>
      </c>
      <c r="Q23" s="331">
        <v>522.430444835054</v>
      </c>
      <c r="R23" s="331">
        <v>212.73151386098601</v>
      </c>
      <c r="S23" s="331">
        <v>0.43007565712680901</v>
      </c>
      <c r="T23" s="331">
        <v>0.40500712046863802</v>
      </c>
      <c r="U23" s="331">
        <v>0.24575983091008499</v>
      </c>
      <c r="V23" s="331">
        <v>0.34715222703620202</v>
      </c>
      <c r="W23" s="331">
        <v>0.24575983091008499</v>
      </c>
      <c r="X23" s="331">
        <v>0.52072834055430295</v>
      </c>
      <c r="Y23" s="331">
        <v>581.82720333841405</v>
      </c>
      <c r="Z23" s="331">
        <v>50.666967244054398</v>
      </c>
      <c r="AA23" s="331">
        <v>3126.55809953783</v>
      </c>
      <c r="AB23" s="331">
        <v>1.38030667247855</v>
      </c>
      <c r="AC23" s="331">
        <v>91.660395190731705</v>
      </c>
      <c r="AD23" s="331">
        <v>91.654875074458403</v>
      </c>
      <c r="AE23" s="331">
        <v>96.485308426800401</v>
      </c>
      <c r="AF23" s="331">
        <v>98.342460459789706</v>
      </c>
      <c r="AG23" s="331">
        <v>91.971466685694807</v>
      </c>
      <c r="AH23" s="331">
        <v>91.899316979424896</v>
      </c>
      <c r="AI23" s="331">
        <v>96.6336713675189</v>
      </c>
      <c r="AJ23" s="331">
        <v>89.896785667362394</v>
      </c>
      <c r="AK23" s="331">
        <v>76.399276864804307</v>
      </c>
      <c r="AL23" s="331">
        <v>46.145154377730499</v>
      </c>
      <c r="AM23" s="331">
        <v>91.604496266953703</v>
      </c>
      <c r="AN23" s="331">
        <v>93.830119152923501</v>
      </c>
      <c r="AO23" s="331">
        <v>84.356864679128904</v>
      </c>
      <c r="AP23" s="331">
        <v>93.134242807138804</v>
      </c>
      <c r="AQ23" s="331">
        <v>99.828334034819505</v>
      </c>
      <c r="AR23" s="331">
        <v>85.611643019642997</v>
      </c>
      <c r="AS23" s="331">
        <v>1.7463710176247</v>
      </c>
      <c r="AT23" s="331">
        <v>611.76075651545</v>
      </c>
      <c r="AU23" s="331">
        <v>455.55229138040397</v>
      </c>
      <c r="AV23" s="331">
        <v>367.38474173474401</v>
      </c>
      <c r="AW23" s="331" t="s">
        <v>368</v>
      </c>
      <c r="AX23" s="331" t="s">
        <v>368</v>
      </c>
      <c r="AY23" s="331">
        <v>612.45985113735196</v>
      </c>
      <c r="AZ23" s="331">
        <v>454.85405519486801</v>
      </c>
      <c r="BA23" s="331">
        <v>367.31917907381802</v>
      </c>
      <c r="BB23" s="331" t="s">
        <v>368</v>
      </c>
      <c r="BC23" s="331" t="s">
        <v>368</v>
      </c>
      <c r="BD23" s="331" t="s">
        <v>369</v>
      </c>
      <c r="BE23" s="331" t="s">
        <v>397</v>
      </c>
      <c r="BF23" s="331" t="s">
        <v>371</v>
      </c>
      <c r="BG23" s="331" t="s">
        <v>372</v>
      </c>
      <c r="BH23" s="331" t="s">
        <v>373</v>
      </c>
      <c r="BI23" s="331">
        <v>175</v>
      </c>
      <c r="BJ23" s="331">
        <v>45</v>
      </c>
      <c r="BK23" s="331" t="s">
        <v>374</v>
      </c>
      <c r="BL23" s="331" t="b">
        <v>0</v>
      </c>
      <c r="BM23" s="331" t="s">
        <v>375</v>
      </c>
      <c r="BN23" s="331" t="s">
        <v>376</v>
      </c>
      <c r="BO23" s="331">
        <v>0.87876114180294196</v>
      </c>
      <c r="BP23" s="331">
        <v>1</v>
      </c>
      <c r="BQ23" s="331">
        <v>234</v>
      </c>
      <c r="BR23" s="331" t="s">
        <v>377</v>
      </c>
      <c r="BS23" s="331" t="s">
        <v>378</v>
      </c>
      <c r="BT23" s="331">
        <v>2</v>
      </c>
      <c r="BU23" s="331">
        <v>20</v>
      </c>
    </row>
    <row r="24" spans="1:73" s="338" customFormat="1">
      <c r="A24" s="338">
        <v>22</v>
      </c>
      <c r="B24" s="339">
        <v>43251.042500000003</v>
      </c>
      <c r="C24" s="338">
        <v>8454.796875</v>
      </c>
      <c r="D24" s="338">
        <v>137.07976957245199</v>
      </c>
      <c r="E24" s="340">
        <v>2.3749207175961299E-6</v>
      </c>
      <c r="F24" s="338">
        <v>764.04714308661096</v>
      </c>
      <c r="G24" s="338">
        <v>140.69864747522001</v>
      </c>
      <c r="H24" s="338">
        <v>32.475000000000001</v>
      </c>
      <c r="I24" s="338">
        <v>30.000900000000001</v>
      </c>
      <c r="J24" s="338">
        <v>0.97427922749999996</v>
      </c>
      <c r="K24" s="338" t="s">
        <v>367</v>
      </c>
      <c r="L24" s="338" t="s">
        <v>368</v>
      </c>
      <c r="M24" s="338" t="s">
        <v>368</v>
      </c>
      <c r="N24" s="338" t="s">
        <v>368</v>
      </c>
      <c r="O24" s="338" t="s">
        <v>368</v>
      </c>
      <c r="P24" s="338">
        <v>148.60989301585201</v>
      </c>
      <c r="Q24" s="338">
        <v>137.07976957245199</v>
      </c>
      <c r="R24" s="338">
        <v>52.370526815943698</v>
      </c>
      <c r="S24" s="338">
        <v>0.43959595857099298</v>
      </c>
      <c r="T24" s="338">
        <v>0.405489240877559</v>
      </c>
      <c r="U24" s="338">
        <v>0.25167663219984898</v>
      </c>
      <c r="V24" s="338">
        <v>0.34822487973643301</v>
      </c>
      <c r="W24" s="338">
        <v>0.25167663219984898</v>
      </c>
      <c r="X24" s="338">
        <v>0.52233731960465002</v>
      </c>
      <c r="Y24" s="338">
        <v>582.91901798349204</v>
      </c>
      <c r="Z24" s="338">
        <v>53.669892817707101</v>
      </c>
      <c r="AA24" s="338">
        <v>2966.9350565299101</v>
      </c>
      <c r="AB24" s="338">
        <v>0.202714013250678</v>
      </c>
      <c r="AC24" s="338">
        <v>96.020164633665303</v>
      </c>
      <c r="AD24" s="338">
        <v>97.114758990771307</v>
      </c>
      <c r="AE24" s="338">
        <v>98.023620399339805</v>
      </c>
      <c r="AF24" s="338">
        <v>98.514630247719793</v>
      </c>
      <c r="AG24" s="338">
        <v>97.3072891000553</v>
      </c>
      <c r="AH24" s="338">
        <v>97.434423273386102</v>
      </c>
      <c r="AI24" s="338">
        <v>98.006686376991098</v>
      </c>
      <c r="AJ24" s="338">
        <v>94.389576129437103</v>
      </c>
      <c r="AK24" s="338">
        <v>87.370332551621701</v>
      </c>
      <c r="AL24" s="338">
        <v>70.591223520868795</v>
      </c>
      <c r="AM24" s="338">
        <v>95.549560075180096</v>
      </c>
      <c r="AN24" s="338">
        <v>95.879009602619007</v>
      </c>
      <c r="AO24" s="338">
        <v>92.187216158981101</v>
      </c>
      <c r="AP24" s="338">
        <v>97.479446015639098</v>
      </c>
      <c r="AQ24" s="338">
        <v>98.476957249048098</v>
      </c>
      <c r="AR24" s="338">
        <v>92.806015872013205</v>
      </c>
      <c r="AS24" s="338">
        <v>0.47835846935179399</v>
      </c>
      <c r="AT24" s="338">
        <v>623.32045323080399</v>
      </c>
      <c r="AU24" s="338">
        <v>448.58856144245499</v>
      </c>
      <c r="AV24" s="338">
        <v>365.10368979988198</v>
      </c>
      <c r="AW24" s="338" t="s">
        <v>368</v>
      </c>
      <c r="AX24" s="338" t="s">
        <v>368</v>
      </c>
      <c r="AY24" s="338">
        <v>622.09625093756495</v>
      </c>
      <c r="AZ24" s="338">
        <v>447.73490466016699</v>
      </c>
      <c r="BA24" s="338">
        <v>366.137512603772</v>
      </c>
      <c r="BB24" s="338" t="s">
        <v>368</v>
      </c>
      <c r="BC24" s="338" t="s">
        <v>368</v>
      </c>
      <c r="BD24" s="338" t="s">
        <v>369</v>
      </c>
      <c r="BE24" s="338" t="s">
        <v>398</v>
      </c>
      <c r="BF24" s="338" t="s">
        <v>371</v>
      </c>
      <c r="BG24" s="338" t="s">
        <v>372</v>
      </c>
      <c r="BH24" s="338" t="s">
        <v>373</v>
      </c>
      <c r="BI24" s="338">
        <v>30</v>
      </c>
      <c r="BJ24" s="338">
        <v>45</v>
      </c>
      <c r="BK24" s="338" t="s">
        <v>374</v>
      </c>
      <c r="BL24" s="338" t="b">
        <v>0</v>
      </c>
      <c r="BM24" s="338" t="s">
        <v>375</v>
      </c>
      <c r="BN24" s="338" t="s">
        <v>376</v>
      </c>
      <c r="BO24" s="338">
        <v>0.87876114180294196</v>
      </c>
      <c r="BP24" s="338">
        <v>1</v>
      </c>
      <c r="BQ24" s="338">
        <v>234</v>
      </c>
      <c r="BR24" s="338" t="s">
        <v>377</v>
      </c>
      <c r="BS24" s="338" t="s">
        <v>378</v>
      </c>
      <c r="BT24" s="338">
        <v>2</v>
      </c>
      <c r="BU24" s="338">
        <v>20</v>
      </c>
    </row>
    <row r="25" spans="1:73" s="332" customFormat="1">
      <c r="A25" s="332">
        <v>23</v>
      </c>
      <c r="B25" s="333">
        <v>43251.042743055557</v>
      </c>
      <c r="C25" s="332">
        <v>8476.4375</v>
      </c>
      <c r="D25" s="332">
        <v>267.25967977113697</v>
      </c>
      <c r="E25" s="334">
        <v>4.6093398137703497E-6</v>
      </c>
      <c r="F25" s="332">
        <v>741.53045518349597</v>
      </c>
      <c r="G25" s="332">
        <v>133.043610821035</v>
      </c>
      <c r="H25" s="332">
        <v>33.482999999999997</v>
      </c>
      <c r="I25" s="332">
        <v>59.994999999999997</v>
      </c>
      <c r="J25" s="332">
        <v>2.0088125849999998</v>
      </c>
      <c r="K25" s="332" t="s">
        <v>367</v>
      </c>
      <c r="L25" s="332" t="s">
        <v>368</v>
      </c>
      <c r="M25" s="332" t="s">
        <v>368</v>
      </c>
      <c r="N25" s="332" t="s">
        <v>368</v>
      </c>
      <c r="O25" s="332" t="s">
        <v>368</v>
      </c>
      <c r="P25" s="332">
        <v>288.71012035655798</v>
      </c>
      <c r="Q25" s="332">
        <v>267.25967977113697</v>
      </c>
      <c r="R25" s="332">
        <v>102.851268434671</v>
      </c>
      <c r="S25" s="332">
        <v>0.43822235525430397</v>
      </c>
      <c r="T25" s="332">
        <v>0.40566352917998399</v>
      </c>
      <c r="U25" s="332">
        <v>0.25071658420426601</v>
      </c>
      <c r="V25" s="332">
        <v>0.34813345263923701</v>
      </c>
      <c r="W25" s="332">
        <v>0.25071658420426601</v>
      </c>
      <c r="X25" s="332">
        <v>0.52220017895885595</v>
      </c>
      <c r="Y25" s="332">
        <v>582.72702447120196</v>
      </c>
      <c r="Z25" s="332">
        <v>53.310145451492602</v>
      </c>
      <c r="AA25" s="332">
        <v>2991.0995298914199</v>
      </c>
      <c r="AB25" s="332">
        <v>0.45422079559358203</v>
      </c>
      <c r="AC25" s="332">
        <v>95.685787062125996</v>
      </c>
      <c r="AD25" s="332">
        <v>96.632275187908803</v>
      </c>
      <c r="AE25" s="332">
        <v>97.568507708652305</v>
      </c>
      <c r="AF25" s="332">
        <v>98.196662664425304</v>
      </c>
      <c r="AG25" s="332">
        <v>97.015945827042202</v>
      </c>
      <c r="AH25" s="332">
        <v>96.897990130032099</v>
      </c>
      <c r="AI25" s="332">
        <v>97.971187537064694</v>
      </c>
      <c r="AJ25" s="332">
        <v>94.318402111492304</v>
      </c>
      <c r="AK25" s="332">
        <v>86.885325330390501</v>
      </c>
      <c r="AL25" s="332">
        <v>69.148575561321906</v>
      </c>
      <c r="AM25" s="332">
        <v>94.560707282879505</v>
      </c>
      <c r="AN25" s="332">
        <v>96.085725297989498</v>
      </c>
      <c r="AO25" s="332">
        <v>91.909078182465606</v>
      </c>
      <c r="AP25" s="332">
        <v>96.947651145020998</v>
      </c>
      <c r="AQ25" s="332">
        <v>98.331034801224106</v>
      </c>
      <c r="AR25" s="332">
        <v>92.236292894586498</v>
      </c>
      <c r="AS25" s="332">
        <v>0.93031884732509296</v>
      </c>
      <c r="AT25" s="332">
        <v>622.363760796517</v>
      </c>
      <c r="AU25" s="332">
        <v>448.00041322098099</v>
      </c>
      <c r="AV25" s="332">
        <v>362.08969037857202</v>
      </c>
      <c r="AW25" s="332" t="s">
        <v>368</v>
      </c>
      <c r="AX25" s="332" t="s">
        <v>368</v>
      </c>
      <c r="AY25" s="332">
        <v>622.09625093756495</v>
      </c>
      <c r="AZ25" s="332">
        <v>447.73490466016699</v>
      </c>
      <c r="BA25" s="332">
        <v>361.41084672358699</v>
      </c>
      <c r="BB25" s="332" t="s">
        <v>368</v>
      </c>
      <c r="BC25" s="332" t="s">
        <v>368</v>
      </c>
      <c r="BD25" s="332" t="s">
        <v>369</v>
      </c>
      <c r="BE25" s="332" t="s">
        <v>399</v>
      </c>
      <c r="BF25" s="332" t="s">
        <v>371</v>
      </c>
      <c r="BG25" s="332" t="s">
        <v>372</v>
      </c>
      <c r="BH25" s="332" t="s">
        <v>373</v>
      </c>
      <c r="BI25" s="332">
        <v>60</v>
      </c>
      <c r="BJ25" s="332">
        <v>45</v>
      </c>
      <c r="BK25" s="332" t="s">
        <v>374</v>
      </c>
      <c r="BL25" s="332" t="b">
        <v>0</v>
      </c>
      <c r="BM25" s="332" t="s">
        <v>375</v>
      </c>
      <c r="BN25" s="332" t="s">
        <v>376</v>
      </c>
      <c r="BO25" s="332">
        <v>0.87876114180294196</v>
      </c>
      <c r="BP25" s="332">
        <v>1</v>
      </c>
      <c r="BQ25" s="332">
        <v>234</v>
      </c>
      <c r="BR25" s="332" t="s">
        <v>377</v>
      </c>
      <c r="BS25" s="332" t="s">
        <v>378</v>
      </c>
      <c r="BT25" s="332">
        <v>2</v>
      </c>
      <c r="BU25" s="332">
        <v>20</v>
      </c>
    </row>
    <row r="26" spans="1:73" s="332" customFormat="1">
      <c r="A26" s="332">
        <v>24</v>
      </c>
      <c r="B26" s="333">
        <v>43251.043321759258</v>
      </c>
      <c r="C26" s="332">
        <v>8525.546875</v>
      </c>
      <c r="D26" s="332">
        <v>389.81783397358203</v>
      </c>
      <c r="E26" s="334">
        <v>6.6881979545917497E-6</v>
      </c>
      <c r="F26" s="332">
        <v>717.22039568009995</v>
      </c>
      <c r="G26" s="332">
        <v>126.17598241258401</v>
      </c>
      <c r="H26" s="332">
        <v>34.326000000000001</v>
      </c>
      <c r="I26" s="332">
        <v>90.004000000000005</v>
      </c>
      <c r="J26" s="332">
        <v>3.0894773039999999</v>
      </c>
      <c r="K26" s="332" t="s">
        <v>367</v>
      </c>
      <c r="L26" s="332" t="s">
        <v>368</v>
      </c>
      <c r="M26" s="332" t="s">
        <v>368</v>
      </c>
      <c r="N26" s="332" t="s">
        <v>368</v>
      </c>
      <c r="O26" s="332" t="s">
        <v>368</v>
      </c>
      <c r="P26" s="332">
        <v>420.06333453659698</v>
      </c>
      <c r="Q26" s="332">
        <v>389.81783397358203</v>
      </c>
      <c r="R26" s="332">
        <v>150.69030144052499</v>
      </c>
      <c r="S26" s="332">
        <v>0.43730565364194601</v>
      </c>
      <c r="T26" s="332">
        <v>0.405818667499658</v>
      </c>
      <c r="U26" s="332">
        <v>0.25005996084859899</v>
      </c>
      <c r="V26" s="332">
        <v>0.34808262571543302</v>
      </c>
      <c r="W26" s="332">
        <v>0.25005996084859899</v>
      </c>
      <c r="X26" s="332">
        <v>0.52212393857314998</v>
      </c>
      <c r="Y26" s="332">
        <v>582.59075679961097</v>
      </c>
      <c r="Z26" s="332">
        <v>53.0817659412523</v>
      </c>
      <c r="AA26" s="332">
        <v>3007.6934575218702</v>
      </c>
      <c r="AB26" s="332">
        <v>0.64067878036632098</v>
      </c>
      <c r="AC26" s="332">
        <v>95.350598055225802</v>
      </c>
      <c r="AD26" s="332">
        <v>96.166789951232801</v>
      </c>
      <c r="AE26" s="332">
        <v>97.184564681625403</v>
      </c>
      <c r="AF26" s="332">
        <v>97.990080489726196</v>
      </c>
      <c r="AG26" s="332">
        <v>96.753904267076805</v>
      </c>
      <c r="AH26" s="332">
        <v>96.411895542621295</v>
      </c>
      <c r="AI26" s="332">
        <v>97.781289266727498</v>
      </c>
      <c r="AJ26" s="332">
        <v>94.176855181952504</v>
      </c>
      <c r="AK26" s="332">
        <v>86.339405060844101</v>
      </c>
      <c r="AL26" s="332">
        <v>67.669787516541504</v>
      </c>
      <c r="AM26" s="332">
        <v>93.734603921298103</v>
      </c>
      <c r="AN26" s="332">
        <v>96.297926253291195</v>
      </c>
      <c r="AO26" s="332">
        <v>91.596247002574898</v>
      </c>
      <c r="AP26" s="332">
        <v>96.462528863784797</v>
      </c>
      <c r="AQ26" s="332">
        <v>98.244114688086995</v>
      </c>
      <c r="AR26" s="332">
        <v>91.669034020309397</v>
      </c>
      <c r="AS26" s="332">
        <v>1.3506176401235399</v>
      </c>
      <c r="AT26" s="332">
        <v>621.39934479487499</v>
      </c>
      <c r="AU26" s="332">
        <v>447.69020990598301</v>
      </c>
      <c r="AV26" s="332">
        <v>377.284162530532</v>
      </c>
      <c r="AW26" s="332" t="s">
        <v>368</v>
      </c>
      <c r="AX26" s="332" t="s">
        <v>368</v>
      </c>
      <c r="AY26" s="332">
        <v>622.09625093756495</v>
      </c>
      <c r="AZ26" s="332">
        <v>447.73490466016699</v>
      </c>
      <c r="BA26" s="332">
        <v>377.95417730423401</v>
      </c>
      <c r="BB26" s="332" t="s">
        <v>368</v>
      </c>
      <c r="BC26" s="332" t="s">
        <v>368</v>
      </c>
      <c r="BD26" s="332" t="s">
        <v>369</v>
      </c>
      <c r="BE26" s="332" t="s">
        <v>400</v>
      </c>
      <c r="BF26" s="332" t="s">
        <v>371</v>
      </c>
      <c r="BG26" s="332" t="s">
        <v>372</v>
      </c>
      <c r="BH26" s="332" t="s">
        <v>373</v>
      </c>
      <c r="BI26" s="332">
        <v>90</v>
      </c>
      <c r="BJ26" s="332">
        <v>45</v>
      </c>
      <c r="BK26" s="332" t="s">
        <v>374</v>
      </c>
      <c r="BL26" s="332" t="b">
        <v>0</v>
      </c>
      <c r="BM26" s="332" t="s">
        <v>375</v>
      </c>
      <c r="BN26" s="332" t="s">
        <v>376</v>
      </c>
      <c r="BO26" s="332">
        <v>0.87876114180294196</v>
      </c>
      <c r="BP26" s="332">
        <v>1</v>
      </c>
      <c r="BQ26" s="332">
        <v>234</v>
      </c>
      <c r="BR26" s="332" t="s">
        <v>377</v>
      </c>
      <c r="BS26" s="332" t="s">
        <v>378</v>
      </c>
      <c r="BT26" s="332">
        <v>2</v>
      </c>
      <c r="BU26" s="332">
        <v>20</v>
      </c>
    </row>
    <row r="27" spans="1:73" s="332" customFormat="1">
      <c r="A27" s="332">
        <v>25</v>
      </c>
      <c r="B27" s="333">
        <v>43251.043611111112</v>
      </c>
      <c r="C27" s="332">
        <v>8550.984375</v>
      </c>
      <c r="D27" s="332">
        <v>505.62242807598801</v>
      </c>
      <c r="E27" s="334">
        <v>8.6304288461931E-6</v>
      </c>
      <c r="F27" s="332">
        <v>694.20127611541</v>
      </c>
      <c r="G27" s="332">
        <v>120.130032615204</v>
      </c>
      <c r="H27" s="332">
        <v>35.076999999999998</v>
      </c>
      <c r="I27" s="332">
        <v>119.992</v>
      </c>
      <c r="J27" s="332">
        <v>4.2089593839999999</v>
      </c>
      <c r="K27" s="332" t="s">
        <v>367</v>
      </c>
      <c r="L27" s="332" t="s">
        <v>368</v>
      </c>
      <c r="M27" s="332" t="s">
        <v>368</v>
      </c>
      <c r="N27" s="332" t="s">
        <v>368</v>
      </c>
      <c r="O27" s="332" t="s">
        <v>368</v>
      </c>
      <c r="P27" s="332">
        <v>543.65831575800405</v>
      </c>
      <c r="Q27" s="332">
        <v>505.62242807598801</v>
      </c>
      <c r="R27" s="332">
        <v>196.47041039252099</v>
      </c>
      <c r="S27" s="332">
        <v>0.43641004378242898</v>
      </c>
      <c r="T27" s="332">
        <v>0.40587755135569498</v>
      </c>
      <c r="U27" s="332">
        <v>0.24945875768501399</v>
      </c>
      <c r="V27" s="332">
        <v>0.34800886634923001</v>
      </c>
      <c r="W27" s="332">
        <v>0.24945875768501399</v>
      </c>
      <c r="X27" s="332">
        <v>0.52201329952384501</v>
      </c>
      <c r="Y27" s="332">
        <v>582.47245688612998</v>
      </c>
      <c r="Z27" s="332">
        <v>52.830697047874203</v>
      </c>
      <c r="AA27" s="332">
        <v>3023.2735768262201</v>
      </c>
      <c r="AB27" s="332">
        <v>0.78848473863180502</v>
      </c>
      <c r="AC27" s="332">
        <v>95.076626263873095</v>
      </c>
      <c r="AD27" s="332">
        <v>95.790513589572299</v>
      </c>
      <c r="AE27" s="332">
        <v>96.897981789390002</v>
      </c>
      <c r="AF27" s="332">
        <v>97.853061423695294</v>
      </c>
      <c r="AG27" s="332">
        <v>96.559944793790393</v>
      </c>
      <c r="AH27" s="332">
        <v>96.025350719939894</v>
      </c>
      <c r="AI27" s="332">
        <v>97.543872011779996</v>
      </c>
      <c r="AJ27" s="332">
        <v>94.057486391743197</v>
      </c>
      <c r="AK27" s="332">
        <v>85.884799391073699</v>
      </c>
      <c r="AL27" s="332">
        <v>66.4615791607376</v>
      </c>
      <c r="AM27" s="332">
        <v>93.105792856518093</v>
      </c>
      <c r="AN27" s="332">
        <v>96.498913184960998</v>
      </c>
      <c r="AO27" s="332">
        <v>91.227495638504607</v>
      </c>
      <c r="AP27" s="332">
        <v>96.080501283851305</v>
      </c>
      <c r="AQ27" s="332">
        <v>98.189332675249204</v>
      </c>
      <c r="AR27" s="332">
        <v>91.223282423929504</v>
      </c>
      <c r="AS27" s="332">
        <v>1.7444099145944401</v>
      </c>
      <c r="AT27" s="332">
        <v>622.35374707857795</v>
      </c>
      <c r="AU27" s="332">
        <v>447.61484735462898</v>
      </c>
      <c r="AV27" s="332">
        <v>365.59735411524201</v>
      </c>
      <c r="AW27" s="332" t="s">
        <v>368</v>
      </c>
      <c r="AX27" s="332" t="s">
        <v>368</v>
      </c>
      <c r="AY27" s="332">
        <v>622.09625093756495</v>
      </c>
      <c r="AZ27" s="332">
        <v>447.73490466016699</v>
      </c>
      <c r="BA27" s="332">
        <v>364.955846133725</v>
      </c>
      <c r="BB27" s="332" t="s">
        <v>368</v>
      </c>
      <c r="BC27" s="332" t="s">
        <v>368</v>
      </c>
      <c r="BD27" s="332" t="s">
        <v>369</v>
      </c>
      <c r="BE27" s="332" t="s">
        <v>401</v>
      </c>
      <c r="BF27" s="332" t="s">
        <v>371</v>
      </c>
      <c r="BG27" s="332" t="s">
        <v>372</v>
      </c>
      <c r="BH27" s="332" t="s">
        <v>373</v>
      </c>
      <c r="BI27" s="332">
        <v>120</v>
      </c>
      <c r="BJ27" s="332">
        <v>45</v>
      </c>
      <c r="BK27" s="332" t="s">
        <v>374</v>
      </c>
      <c r="BL27" s="332" t="b">
        <v>0</v>
      </c>
      <c r="BM27" s="332" t="s">
        <v>375</v>
      </c>
      <c r="BN27" s="332" t="s">
        <v>376</v>
      </c>
      <c r="BO27" s="332">
        <v>0.87876114180294196</v>
      </c>
      <c r="BP27" s="332">
        <v>1</v>
      </c>
      <c r="BQ27" s="332">
        <v>234</v>
      </c>
      <c r="BR27" s="332" t="s">
        <v>377</v>
      </c>
      <c r="BS27" s="332" t="s">
        <v>378</v>
      </c>
      <c r="BT27" s="332">
        <v>2</v>
      </c>
      <c r="BU27" s="332">
        <v>20</v>
      </c>
    </row>
    <row r="28" spans="1:73" s="332" customFormat="1">
      <c r="A28" s="332">
        <v>26</v>
      </c>
      <c r="B28" s="333">
        <v>43251.043958333335</v>
      </c>
      <c r="C28" s="332">
        <v>8581.078125</v>
      </c>
      <c r="D28" s="332">
        <v>615.37816752149604</v>
      </c>
      <c r="E28" s="334">
        <v>1.0488723739074E-5</v>
      </c>
      <c r="F28" s="332">
        <v>674.87328196241901</v>
      </c>
      <c r="G28" s="332">
        <v>114.69105568129601</v>
      </c>
      <c r="H28" s="332">
        <v>35.768999999999998</v>
      </c>
      <c r="I28" s="332">
        <v>150.005</v>
      </c>
      <c r="J28" s="332">
        <v>5.365528845</v>
      </c>
      <c r="K28" s="332" t="s">
        <v>367</v>
      </c>
      <c r="L28" s="332" t="s">
        <v>368</v>
      </c>
      <c r="M28" s="332" t="s">
        <v>368</v>
      </c>
      <c r="N28" s="332" t="s">
        <v>368</v>
      </c>
      <c r="O28" s="332" t="s">
        <v>368</v>
      </c>
      <c r="P28" s="332">
        <v>660.47137510681205</v>
      </c>
      <c r="Q28" s="332">
        <v>615.37816752149604</v>
      </c>
      <c r="R28" s="332">
        <v>240.33837412597501</v>
      </c>
      <c r="S28" s="332">
        <v>0.43561313726908502</v>
      </c>
      <c r="T28" s="332">
        <v>0.40587196397056202</v>
      </c>
      <c r="U28" s="332">
        <v>0.24894891773307301</v>
      </c>
      <c r="V28" s="332">
        <v>0.34792816443315799</v>
      </c>
      <c r="W28" s="332">
        <v>0.24894891773307301</v>
      </c>
      <c r="X28" s="332">
        <v>0.52189224664973699</v>
      </c>
      <c r="Y28" s="332">
        <v>582.37625123748796</v>
      </c>
      <c r="Z28" s="332">
        <v>52.589816767121</v>
      </c>
      <c r="AA28" s="332">
        <v>3036.7774509523902</v>
      </c>
      <c r="AB28" s="332">
        <v>0.89797757444806203</v>
      </c>
      <c r="AC28" s="332">
        <v>94.819648533012298</v>
      </c>
      <c r="AD28" s="332">
        <v>95.464291760007995</v>
      </c>
      <c r="AE28" s="332">
        <v>96.645624764497001</v>
      </c>
      <c r="AF28" s="332">
        <v>97.724432921831706</v>
      </c>
      <c r="AG28" s="332">
        <v>96.364394735709297</v>
      </c>
      <c r="AH28" s="332">
        <v>95.685783294622397</v>
      </c>
      <c r="AI28" s="332">
        <v>97.305101824793994</v>
      </c>
      <c r="AJ28" s="332">
        <v>93.927736285044901</v>
      </c>
      <c r="AK28" s="332">
        <v>85.439822677591295</v>
      </c>
      <c r="AL28" s="332">
        <v>65.285608102563998</v>
      </c>
      <c r="AM28" s="332">
        <v>92.541435185386405</v>
      </c>
      <c r="AN28" s="332">
        <v>96.628800369992504</v>
      </c>
      <c r="AO28" s="332">
        <v>90.856314642548398</v>
      </c>
      <c r="AP28" s="332">
        <v>95.7524595949766</v>
      </c>
      <c r="AQ28" s="332">
        <v>98.1321082037812</v>
      </c>
      <c r="AR28" s="332">
        <v>90.816002190446895</v>
      </c>
      <c r="AS28" s="332">
        <v>2.1195803295641999</v>
      </c>
      <c r="AT28" s="332">
        <v>622.34279156957905</v>
      </c>
      <c r="AU28" s="332">
        <v>447.34989717325698</v>
      </c>
      <c r="AV28" s="332">
        <v>363.033450409088</v>
      </c>
      <c r="AW28" s="332" t="s">
        <v>368</v>
      </c>
      <c r="AX28" s="332" t="s">
        <v>368</v>
      </c>
      <c r="AY28" s="332">
        <v>622.09625093756495</v>
      </c>
      <c r="AZ28" s="332">
        <v>447.73490466016699</v>
      </c>
      <c r="BA28" s="332">
        <v>357.865847313448</v>
      </c>
      <c r="BB28" s="332" t="s">
        <v>368</v>
      </c>
      <c r="BC28" s="332" t="s">
        <v>368</v>
      </c>
      <c r="BD28" s="332" t="s">
        <v>369</v>
      </c>
      <c r="BE28" s="332" t="s">
        <v>402</v>
      </c>
      <c r="BF28" s="332" t="s">
        <v>371</v>
      </c>
      <c r="BG28" s="332" t="s">
        <v>372</v>
      </c>
      <c r="BH28" s="332" t="s">
        <v>373</v>
      </c>
      <c r="BI28" s="332">
        <v>150</v>
      </c>
      <c r="BJ28" s="332">
        <v>45</v>
      </c>
      <c r="BK28" s="332" t="s">
        <v>374</v>
      </c>
      <c r="BL28" s="332" t="b">
        <v>0</v>
      </c>
      <c r="BM28" s="332" t="s">
        <v>375</v>
      </c>
      <c r="BN28" s="332" t="s">
        <v>376</v>
      </c>
      <c r="BO28" s="332">
        <v>0.87876114180294196</v>
      </c>
      <c r="BP28" s="332">
        <v>1</v>
      </c>
      <c r="BQ28" s="332">
        <v>234</v>
      </c>
      <c r="BR28" s="332" t="s">
        <v>377</v>
      </c>
      <c r="BS28" s="332" t="s">
        <v>378</v>
      </c>
      <c r="BT28" s="332">
        <v>2</v>
      </c>
      <c r="BU28" s="332">
        <v>20</v>
      </c>
    </row>
    <row r="29" spans="1:73" s="332" customFormat="1">
      <c r="A29" s="332">
        <v>27</v>
      </c>
      <c r="B29" s="333">
        <v>43251.045127314814</v>
      </c>
      <c r="C29" s="332">
        <v>8681.859375</v>
      </c>
      <c r="D29" s="332">
        <v>702.05907466961196</v>
      </c>
      <c r="E29" s="334">
        <v>1.1931513792687499E-5</v>
      </c>
      <c r="F29" s="332">
        <v>658.05595317964003</v>
      </c>
      <c r="G29" s="332">
        <v>110.483493733833</v>
      </c>
      <c r="H29" s="332">
        <v>36.311</v>
      </c>
      <c r="I29" s="332">
        <v>175</v>
      </c>
      <c r="J29" s="332">
        <v>6.354425</v>
      </c>
      <c r="K29" s="332" t="s">
        <v>367</v>
      </c>
      <c r="L29" s="332" t="s">
        <v>368</v>
      </c>
      <c r="M29" s="332" t="s">
        <v>368</v>
      </c>
      <c r="N29" s="332" t="s">
        <v>368</v>
      </c>
      <c r="O29" s="332" t="s">
        <v>368</v>
      </c>
      <c r="P29" s="332">
        <v>752.38210944331399</v>
      </c>
      <c r="Q29" s="332">
        <v>702.05907466961196</v>
      </c>
      <c r="R29" s="332">
        <v>275.35928419205902</v>
      </c>
      <c r="S29" s="332">
        <v>0.43495311929275099</v>
      </c>
      <c r="T29" s="332">
        <v>0.40586130454546199</v>
      </c>
      <c r="U29" s="332">
        <v>0.24852939352612599</v>
      </c>
      <c r="V29" s="332">
        <v>0.34785977867599299</v>
      </c>
      <c r="W29" s="332">
        <v>0.24852939352612599</v>
      </c>
      <c r="X29" s="332">
        <v>0.52178966801398996</v>
      </c>
      <c r="Y29" s="332">
        <v>582.29694401067002</v>
      </c>
      <c r="Z29" s="332">
        <v>52.388495114752601</v>
      </c>
      <c r="AA29" s="332">
        <v>3047.9920441115901</v>
      </c>
      <c r="AB29" s="332">
        <v>0.98833147455203496</v>
      </c>
      <c r="AC29" s="332">
        <v>94.603680213457906</v>
      </c>
      <c r="AD29" s="332">
        <v>95.183228447188597</v>
      </c>
      <c r="AE29" s="332">
        <v>96.434720627271105</v>
      </c>
      <c r="AF29" s="332">
        <v>97.614597314166005</v>
      </c>
      <c r="AG29" s="332">
        <v>96.196541729985796</v>
      </c>
      <c r="AH29" s="332">
        <v>95.394196934652697</v>
      </c>
      <c r="AI29" s="332">
        <v>97.065373378192405</v>
      </c>
      <c r="AJ29" s="332">
        <v>93.833966526630704</v>
      </c>
      <c r="AK29" s="332">
        <v>85.106816749576296</v>
      </c>
      <c r="AL29" s="332">
        <v>64.401960381459105</v>
      </c>
      <c r="AM29" s="332">
        <v>92.068616070538894</v>
      </c>
      <c r="AN29" s="332">
        <v>96.742213465980996</v>
      </c>
      <c r="AO29" s="332">
        <v>90.483046051815705</v>
      </c>
      <c r="AP29" s="332">
        <v>95.468983549853903</v>
      </c>
      <c r="AQ29" s="332">
        <v>98.085117370838901</v>
      </c>
      <c r="AR29" s="332">
        <v>90.496067899561695</v>
      </c>
      <c r="AS29" s="332">
        <v>2.41346049618324</v>
      </c>
      <c r="AT29" s="332">
        <v>622.51632004447197</v>
      </c>
      <c r="AU29" s="332">
        <v>447.300024020119</v>
      </c>
      <c r="AV29" s="332">
        <v>368.10807171533003</v>
      </c>
      <c r="AW29" s="332" t="s">
        <v>368</v>
      </c>
      <c r="AX29" s="332" t="s">
        <v>368</v>
      </c>
      <c r="AY29" s="332">
        <v>623.30080091259197</v>
      </c>
      <c r="AZ29" s="332">
        <v>447.73490466016699</v>
      </c>
      <c r="BA29" s="332">
        <v>368.50084554386399</v>
      </c>
      <c r="BB29" s="332" t="s">
        <v>368</v>
      </c>
      <c r="BC29" s="332" t="s">
        <v>368</v>
      </c>
      <c r="BD29" s="332" t="s">
        <v>369</v>
      </c>
      <c r="BE29" s="332" t="s">
        <v>403</v>
      </c>
      <c r="BF29" s="332" t="s">
        <v>371</v>
      </c>
      <c r="BG29" s="332" t="s">
        <v>372</v>
      </c>
      <c r="BH29" s="332" t="s">
        <v>373</v>
      </c>
      <c r="BI29" s="332">
        <v>175</v>
      </c>
      <c r="BJ29" s="332">
        <v>45</v>
      </c>
      <c r="BK29" s="332" t="s">
        <v>374</v>
      </c>
      <c r="BL29" s="332" t="b">
        <v>0</v>
      </c>
      <c r="BM29" s="332" t="s">
        <v>375</v>
      </c>
      <c r="BN29" s="332" t="s">
        <v>376</v>
      </c>
      <c r="BO29" s="332">
        <v>0.87876114180294196</v>
      </c>
      <c r="BP29" s="332">
        <v>1</v>
      </c>
      <c r="BQ29" s="332">
        <v>234</v>
      </c>
      <c r="BR29" s="332" t="s">
        <v>377</v>
      </c>
      <c r="BS29" s="332" t="s">
        <v>378</v>
      </c>
      <c r="BT29" s="332">
        <v>2</v>
      </c>
      <c r="BU29" s="332">
        <v>20</v>
      </c>
    </row>
    <row r="30" spans="1:73" s="332" customFormat="1">
      <c r="A30" s="332">
        <v>28</v>
      </c>
      <c r="B30" s="333">
        <v>43251.046041666668</v>
      </c>
      <c r="C30" s="332">
        <v>8760.8125</v>
      </c>
      <c r="D30" s="332">
        <v>817.48666904093795</v>
      </c>
      <c r="E30" s="334">
        <v>1.3840683039117401E-5</v>
      </c>
      <c r="F30" s="332">
        <v>636.14173979301495</v>
      </c>
      <c r="G30" s="332">
        <v>105.13358404099399</v>
      </c>
      <c r="H30" s="332">
        <v>37.027999999999999</v>
      </c>
      <c r="I30" s="332">
        <v>209.995</v>
      </c>
      <c r="J30" s="332">
        <v>7.7756948599999998</v>
      </c>
      <c r="K30" s="332" t="s">
        <v>367</v>
      </c>
      <c r="L30" s="332" t="s">
        <v>368</v>
      </c>
      <c r="M30" s="332" t="s">
        <v>368</v>
      </c>
      <c r="N30" s="332" t="s">
        <v>368</v>
      </c>
      <c r="O30" s="332" t="s">
        <v>368</v>
      </c>
      <c r="P30" s="332">
        <v>874.52067635440199</v>
      </c>
      <c r="Q30" s="332">
        <v>817.48666904093795</v>
      </c>
      <c r="R30" s="332">
        <v>322.15106071729201</v>
      </c>
      <c r="S30" s="332">
        <v>0.434186642768701</v>
      </c>
      <c r="T30" s="332">
        <v>0.40587009768447402</v>
      </c>
      <c r="U30" s="332">
        <v>0.24803338087874499</v>
      </c>
      <c r="V30" s="332">
        <v>0.34778591489246202</v>
      </c>
      <c r="W30" s="332">
        <v>0.24803338087874499</v>
      </c>
      <c r="X30" s="332">
        <v>0.52167887233869403</v>
      </c>
      <c r="Y30" s="332">
        <v>582.20041258234301</v>
      </c>
      <c r="Z30" s="332">
        <v>52.161084204549297</v>
      </c>
      <c r="AA30" s="332">
        <v>3061.2675214167102</v>
      </c>
      <c r="AB30" s="332">
        <v>1.10327405447132</v>
      </c>
      <c r="AC30" s="332">
        <v>94.354451864814905</v>
      </c>
      <c r="AD30" s="332">
        <v>94.855551581925297</v>
      </c>
      <c r="AE30" s="332">
        <v>96.210245248872994</v>
      </c>
      <c r="AF30" s="332">
        <v>97.551669266197294</v>
      </c>
      <c r="AG30" s="332">
        <v>96.015141461169804</v>
      </c>
      <c r="AH30" s="332">
        <v>95.067803084795301</v>
      </c>
      <c r="AI30" s="332">
        <v>96.821023453973893</v>
      </c>
      <c r="AJ30" s="332">
        <v>93.692594896214302</v>
      </c>
      <c r="AK30" s="332">
        <v>84.621585925370596</v>
      </c>
      <c r="AL30" s="332">
        <v>63.152127581199998</v>
      </c>
      <c r="AM30" s="332">
        <v>91.574553709373703</v>
      </c>
      <c r="AN30" s="332">
        <v>96.851200537598899</v>
      </c>
      <c r="AO30" s="332">
        <v>90.107130486845705</v>
      </c>
      <c r="AP30" s="332">
        <v>95.149799751218296</v>
      </c>
      <c r="AQ30" s="332">
        <v>98.065490853922299</v>
      </c>
      <c r="AR30" s="332">
        <v>90.077756162084896</v>
      </c>
      <c r="AS30" s="332">
        <v>2.8018685972333399</v>
      </c>
      <c r="AT30" s="332">
        <v>617.62115905418796</v>
      </c>
      <c r="AU30" s="332">
        <v>447.08205844082499</v>
      </c>
      <c r="AV30" s="332">
        <v>364.523360394664</v>
      </c>
      <c r="AW30" s="332" t="s">
        <v>368</v>
      </c>
      <c r="AX30" s="332" t="s">
        <v>368</v>
      </c>
      <c r="AY30" s="332">
        <v>617.278051037458</v>
      </c>
      <c r="AZ30" s="332">
        <v>447.73490466016699</v>
      </c>
      <c r="BA30" s="332">
        <v>363.77417966367898</v>
      </c>
      <c r="BB30" s="332" t="s">
        <v>368</v>
      </c>
      <c r="BC30" s="332" t="s">
        <v>368</v>
      </c>
      <c r="BD30" s="332" t="s">
        <v>369</v>
      </c>
      <c r="BE30" s="332" t="s">
        <v>404</v>
      </c>
      <c r="BF30" s="332" t="s">
        <v>371</v>
      </c>
      <c r="BG30" s="332" t="s">
        <v>372</v>
      </c>
      <c r="BH30" s="332" t="s">
        <v>373</v>
      </c>
      <c r="BI30" s="332">
        <v>210</v>
      </c>
      <c r="BJ30" s="332">
        <v>45</v>
      </c>
      <c r="BK30" s="332" t="s">
        <v>374</v>
      </c>
      <c r="BL30" s="332" t="b">
        <v>0</v>
      </c>
      <c r="BM30" s="332" t="s">
        <v>375</v>
      </c>
      <c r="BN30" s="332" t="s">
        <v>376</v>
      </c>
      <c r="BO30" s="332">
        <v>0.87876114180294196</v>
      </c>
      <c r="BP30" s="332">
        <v>1</v>
      </c>
      <c r="BQ30" s="332">
        <v>234</v>
      </c>
      <c r="BR30" s="332" t="s">
        <v>377</v>
      </c>
      <c r="BS30" s="332" t="s">
        <v>378</v>
      </c>
      <c r="BT30" s="332">
        <v>2</v>
      </c>
      <c r="BU30" s="332">
        <v>20</v>
      </c>
    </row>
    <row r="31" spans="1:73" s="332" customFormat="1">
      <c r="A31" s="332">
        <v>29</v>
      </c>
      <c r="B31" s="333">
        <v>43251.04650462963</v>
      </c>
      <c r="C31" s="332">
        <v>8800.90625</v>
      </c>
      <c r="D31" s="332">
        <v>911.03928829640302</v>
      </c>
      <c r="E31" s="334">
        <v>1.5380704056523201E-5</v>
      </c>
      <c r="F31" s="332">
        <v>618.51522283335305</v>
      </c>
      <c r="G31" s="332">
        <v>100.920532259513</v>
      </c>
      <c r="H31" s="332">
        <v>37.612000000000002</v>
      </c>
      <c r="I31" s="332">
        <v>240.011</v>
      </c>
      <c r="J31" s="332">
        <v>9.0272937320000004</v>
      </c>
      <c r="K31" s="332" t="s">
        <v>367</v>
      </c>
      <c r="L31" s="332" t="s">
        <v>368</v>
      </c>
      <c r="M31" s="332" t="s">
        <v>368</v>
      </c>
      <c r="N31" s="332" t="s">
        <v>368</v>
      </c>
      <c r="O31" s="332" t="s">
        <v>368</v>
      </c>
      <c r="P31" s="332">
        <v>973.14333018613297</v>
      </c>
      <c r="Q31" s="332">
        <v>911.03928829640302</v>
      </c>
      <c r="R31" s="332">
        <v>359.92043969079901</v>
      </c>
      <c r="S31" s="332">
        <v>0.43364467003501</v>
      </c>
      <c r="T31" s="332">
        <v>0.405970343018905</v>
      </c>
      <c r="U31" s="332">
        <v>0.24764289296776201</v>
      </c>
      <c r="V31" s="332">
        <v>0.347758235548703</v>
      </c>
      <c r="W31" s="332">
        <v>0.24764289296776201</v>
      </c>
      <c r="X31" s="332">
        <v>0.52163735332305405</v>
      </c>
      <c r="Y31" s="332">
        <v>582.11537222365098</v>
      </c>
      <c r="Z31" s="332">
        <v>52.028631624832997</v>
      </c>
      <c r="AA31" s="332">
        <v>3071.4708306215998</v>
      </c>
      <c r="AB31" s="332">
        <v>1.2232421158853699</v>
      </c>
      <c r="AC31" s="332">
        <v>94.1478093230116</v>
      </c>
      <c r="AD31" s="332">
        <v>94.576745031601106</v>
      </c>
      <c r="AE31" s="332">
        <v>96.025664201037202</v>
      </c>
      <c r="AF31" s="332">
        <v>97.498911208906705</v>
      </c>
      <c r="AG31" s="332">
        <v>95.876318138269298</v>
      </c>
      <c r="AH31" s="332">
        <v>94.789025345523697</v>
      </c>
      <c r="AI31" s="332">
        <v>96.604483313961893</v>
      </c>
      <c r="AJ31" s="332">
        <v>93.589119663634904</v>
      </c>
      <c r="AK31" s="332">
        <v>84.222207681158096</v>
      </c>
      <c r="AL31" s="332">
        <v>62.117634794461303</v>
      </c>
      <c r="AM31" s="332">
        <v>91.155420905841495</v>
      </c>
      <c r="AN31" s="332">
        <v>96.944946155309097</v>
      </c>
      <c r="AO31" s="332">
        <v>89.713321860805706</v>
      </c>
      <c r="AP31" s="332">
        <v>94.8852991527462</v>
      </c>
      <c r="AQ31" s="332">
        <v>98.045810432154099</v>
      </c>
      <c r="AR31" s="332">
        <v>89.718988598612597</v>
      </c>
      <c r="AS31" s="332">
        <v>3.1149583345896699</v>
      </c>
      <c r="AT31" s="332">
        <v>617.83303192431799</v>
      </c>
      <c r="AU31" s="332">
        <v>447.20175264906101</v>
      </c>
      <c r="AV31" s="332">
        <v>361.26073737796702</v>
      </c>
      <c r="AW31" s="332" t="s">
        <v>368</v>
      </c>
      <c r="AX31" s="332" t="s">
        <v>368</v>
      </c>
      <c r="AY31" s="332">
        <v>617.278051037458</v>
      </c>
      <c r="AZ31" s="332">
        <v>447.73490466016699</v>
      </c>
      <c r="BA31" s="332">
        <v>361.41084672358699</v>
      </c>
      <c r="BB31" s="332" t="s">
        <v>368</v>
      </c>
      <c r="BC31" s="332" t="s">
        <v>368</v>
      </c>
      <c r="BD31" s="332" t="s">
        <v>369</v>
      </c>
      <c r="BE31" s="332" t="s">
        <v>405</v>
      </c>
      <c r="BF31" s="332" t="s">
        <v>371</v>
      </c>
      <c r="BG31" s="332" t="s">
        <v>372</v>
      </c>
      <c r="BH31" s="332" t="s">
        <v>373</v>
      </c>
      <c r="BI31" s="332">
        <v>240</v>
      </c>
      <c r="BJ31" s="332">
        <v>45</v>
      </c>
      <c r="BK31" s="332" t="s">
        <v>374</v>
      </c>
      <c r="BL31" s="332" t="b">
        <v>0</v>
      </c>
      <c r="BM31" s="332" t="s">
        <v>375</v>
      </c>
      <c r="BN31" s="332" t="s">
        <v>376</v>
      </c>
      <c r="BO31" s="332">
        <v>0.87876114180294196</v>
      </c>
      <c r="BP31" s="332">
        <v>1</v>
      </c>
      <c r="BQ31" s="332">
        <v>234</v>
      </c>
      <c r="BR31" s="332" t="s">
        <v>377</v>
      </c>
      <c r="BS31" s="332" t="s">
        <v>378</v>
      </c>
      <c r="BT31" s="332">
        <v>2</v>
      </c>
      <c r="BU31" s="332">
        <v>20</v>
      </c>
    </row>
    <row r="32" spans="1:73" s="332" customFormat="1">
      <c r="A32" s="332">
        <v>30</v>
      </c>
      <c r="B32" s="333">
        <v>43251.047430555554</v>
      </c>
      <c r="C32" s="332">
        <v>8881</v>
      </c>
      <c r="D32" s="332">
        <v>999.16141075116695</v>
      </c>
      <c r="E32" s="334">
        <v>1.6833065628760899E-5</v>
      </c>
      <c r="F32" s="332">
        <v>601.74322597525395</v>
      </c>
      <c r="G32" s="332">
        <v>96.959484425826005</v>
      </c>
      <c r="H32" s="332">
        <v>38.167000000000002</v>
      </c>
      <c r="I32" s="332">
        <v>269.99599999999998</v>
      </c>
      <c r="J32" s="332">
        <v>10.304937332</v>
      </c>
      <c r="K32" s="332" t="s">
        <v>367</v>
      </c>
      <c r="L32" s="332" t="s">
        <v>368</v>
      </c>
      <c r="M32" s="332" t="s">
        <v>368</v>
      </c>
      <c r="N32" s="332" t="s">
        <v>368</v>
      </c>
      <c r="O32" s="332" t="s">
        <v>368</v>
      </c>
      <c r="P32" s="332">
        <v>1065.9986789693901</v>
      </c>
      <c r="Q32" s="332">
        <v>999.16141075116695</v>
      </c>
      <c r="R32" s="332">
        <v>396.50163267211002</v>
      </c>
      <c r="S32" s="332">
        <v>0.43304027895972103</v>
      </c>
      <c r="T32" s="332">
        <v>0.40588899833889902</v>
      </c>
      <c r="U32" s="332">
        <v>0.247289527768913</v>
      </c>
      <c r="V32" s="332">
        <v>0.34767700697592402</v>
      </c>
      <c r="W32" s="332">
        <v>0.247289527768913</v>
      </c>
      <c r="X32" s="332">
        <v>0.521515510463886</v>
      </c>
      <c r="Y32" s="332">
        <v>582.05345985745396</v>
      </c>
      <c r="Z32" s="332">
        <v>51.822695471163598</v>
      </c>
      <c r="AA32" s="332">
        <v>3081.33155518279</v>
      </c>
      <c r="AB32" s="332">
        <v>1.28063369936333</v>
      </c>
      <c r="AC32" s="332">
        <v>93.964425451889696</v>
      </c>
      <c r="AD32" s="332">
        <v>94.344405434521903</v>
      </c>
      <c r="AE32" s="332">
        <v>95.881170417171006</v>
      </c>
      <c r="AF32" s="332">
        <v>97.462181612849804</v>
      </c>
      <c r="AG32" s="332">
        <v>95.731498936371594</v>
      </c>
      <c r="AH32" s="332">
        <v>94.556344239890095</v>
      </c>
      <c r="AI32" s="332">
        <v>96.426654246700906</v>
      </c>
      <c r="AJ32" s="332">
        <v>93.471550939384997</v>
      </c>
      <c r="AK32" s="332">
        <v>83.841597788227503</v>
      </c>
      <c r="AL32" s="332">
        <v>61.154697766418202</v>
      </c>
      <c r="AM32" s="332">
        <v>90.817430936800605</v>
      </c>
      <c r="AN32" s="332">
        <v>96.986437654562806</v>
      </c>
      <c r="AO32" s="332">
        <v>89.418338586096795</v>
      </c>
      <c r="AP32" s="332">
        <v>94.668391366371097</v>
      </c>
      <c r="AQ32" s="332">
        <v>98.033712340124595</v>
      </c>
      <c r="AR32" s="332">
        <v>89.421883341796203</v>
      </c>
      <c r="AS32" s="332">
        <v>3.4105147102273299</v>
      </c>
      <c r="AT32" s="332">
        <v>617.32745949899299</v>
      </c>
      <c r="AU32" s="332">
        <v>447.06400176474699</v>
      </c>
      <c r="AV32" s="332">
        <v>361.49026060663198</v>
      </c>
      <c r="AW32" s="332" t="s">
        <v>368</v>
      </c>
      <c r="AX32" s="332" t="s">
        <v>368</v>
      </c>
      <c r="AY32" s="332">
        <v>617.278051037458</v>
      </c>
      <c r="AZ32" s="332">
        <v>447.73490466016699</v>
      </c>
      <c r="BA32" s="332">
        <v>362.59251319363301</v>
      </c>
      <c r="BB32" s="332" t="s">
        <v>368</v>
      </c>
      <c r="BC32" s="332" t="s">
        <v>368</v>
      </c>
      <c r="BD32" s="332" t="s">
        <v>369</v>
      </c>
      <c r="BE32" s="332" t="s">
        <v>406</v>
      </c>
      <c r="BF32" s="332" t="s">
        <v>371</v>
      </c>
      <c r="BG32" s="332" t="s">
        <v>372</v>
      </c>
      <c r="BH32" s="332" t="s">
        <v>373</v>
      </c>
      <c r="BI32" s="332">
        <v>270</v>
      </c>
      <c r="BJ32" s="332">
        <v>45</v>
      </c>
      <c r="BK32" s="332" t="s">
        <v>374</v>
      </c>
      <c r="BL32" s="332" t="b">
        <v>0</v>
      </c>
      <c r="BM32" s="332" t="s">
        <v>375</v>
      </c>
      <c r="BN32" s="332" t="s">
        <v>376</v>
      </c>
      <c r="BO32" s="332">
        <v>0.87876114180294196</v>
      </c>
      <c r="BP32" s="332">
        <v>1</v>
      </c>
      <c r="BQ32" s="332">
        <v>234</v>
      </c>
      <c r="BR32" s="332" t="s">
        <v>377</v>
      </c>
      <c r="BS32" s="332" t="s">
        <v>378</v>
      </c>
      <c r="BT32" s="332">
        <v>2</v>
      </c>
      <c r="BU32" s="332">
        <v>20</v>
      </c>
    </row>
    <row r="33" spans="1:73" s="332" customFormat="1">
      <c r="A33" s="332">
        <v>31</v>
      </c>
      <c r="B33" s="333">
        <v>43251.048402777778</v>
      </c>
      <c r="C33" s="332">
        <v>8964.703125</v>
      </c>
      <c r="D33" s="332">
        <v>1083.4122619376001</v>
      </c>
      <c r="E33" s="334">
        <v>1.8208251892993201E-5</v>
      </c>
      <c r="F33" s="332">
        <v>585.79812676858705</v>
      </c>
      <c r="G33" s="332">
        <v>93.301764405460005</v>
      </c>
      <c r="H33" s="332">
        <v>38.706000000000003</v>
      </c>
      <c r="I33" s="332">
        <v>300.00299999999999</v>
      </c>
      <c r="J33" s="332">
        <v>11.611916118</v>
      </c>
      <c r="K33" s="332" t="s">
        <v>367</v>
      </c>
      <c r="L33" s="332" t="s">
        <v>368</v>
      </c>
      <c r="M33" s="332" t="s">
        <v>368</v>
      </c>
      <c r="N33" s="332" t="s">
        <v>368</v>
      </c>
      <c r="O33" s="332" t="s">
        <v>368</v>
      </c>
      <c r="P33" s="332">
        <v>1154.7232857071699</v>
      </c>
      <c r="Q33" s="332">
        <v>1083.4122619376001</v>
      </c>
      <c r="R33" s="332">
        <v>431.82928093421702</v>
      </c>
      <c r="S33" s="332">
        <v>0.43248632841419898</v>
      </c>
      <c r="T33" s="332">
        <v>0.40577772798386003</v>
      </c>
      <c r="U33" s="332">
        <v>0.24698120801197199</v>
      </c>
      <c r="V33" s="332">
        <v>0.34759297643910197</v>
      </c>
      <c r="W33" s="332">
        <v>0.24698120801197199</v>
      </c>
      <c r="X33" s="332">
        <v>0.52138946465865299</v>
      </c>
      <c r="Y33" s="332">
        <v>582.00265597712405</v>
      </c>
      <c r="Z33" s="332">
        <v>51.622876885628799</v>
      </c>
      <c r="AA33" s="332">
        <v>3090.11875537167</v>
      </c>
      <c r="AB33" s="332">
        <v>1.31929671772344</v>
      </c>
      <c r="AC33" s="332">
        <v>93.795386213044694</v>
      </c>
      <c r="AD33" s="332">
        <v>94.1190070187468</v>
      </c>
      <c r="AE33" s="332">
        <v>95.757535707072606</v>
      </c>
      <c r="AF33" s="332">
        <v>97.471371187485005</v>
      </c>
      <c r="AG33" s="332">
        <v>95.591288723340099</v>
      </c>
      <c r="AH33" s="332">
        <v>94.339978567243307</v>
      </c>
      <c r="AI33" s="332">
        <v>96.271071514362305</v>
      </c>
      <c r="AJ33" s="332">
        <v>93.347565076935297</v>
      </c>
      <c r="AK33" s="332">
        <v>83.465271909172102</v>
      </c>
      <c r="AL33" s="332">
        <v>60.237139419776902</v>
      </c>
      <c r="AM33" s="332">
        <v>90.541529093158104</v>
      </c>
      <c r="AN33" s="332">
        <v>97.010350049288604</v>
      </c>
      <c r="AO33" s="332">
        <v>89.158601469566804</v>
      </c>
      <c r="AP33" s="332">
        <v>94.463197193560305</v>
      </c>
      <c r="AQ33" s="332">
        <v>98.048843036907698</v>
      </c>
      <c r="AR33" s="332">
        <v>89.133915168938799</v>
      </c>
      <c r="AS33" s="332">
        <v>3.6911393506686401</v>
      </c>
      <c r="AT33" s="332">
        <v>617.96597816898804</v>
      </c>
      <c r="AU33" s="332">
        <v>447.60086821743602</v>
      </c>
      <c r="AV33" s="332">
        <v>376.70541239750798</v>
      </c>
      <c r="AW33" s="332" t="s">
        <v>368</v>
      </c>
      <c r="AX33" s="332" t="s">
        <v>368</v>
      </c>
      <c r="AY33" s="332">
        <v>617.278051037458</v>
      </c>
      <c r="AZ33" s="332">
        <v>447.73490466016699</v>
      </c>
      <c r="BA33" s="332">
        <v>376.77251083418798</v>
      </c>
      <c r="BB33" s="332" t="s">
        <v>368</v>
      </c>
      <c r="BC33" s="332" t="s">
        <v>368</v>
      </c>
      <c r="BD33" s="332" t="s">
        <v>369</v>
      </c>
      <c r="BE33" s="332" t="s">
        <v>407</v>
      </c>
      <c r="BF33" s="332" t="s">
        <v>371</v>
      </c>
      <c r="BG33" s="332" t="s">
        <v>372</v>
      </c>
      <c r="BH33" s="332" t="s">
        <v>373</v>
      </c>
      <c r="BI33" s="332">
        <v>300</v>
      </c>
      <c r="BJ33" s="332">
        <v>45</v>
      </c>
      <c r="BK33" s="332" t="s">
        <v>374</v>
      </c>
      <c r="BL33" s="332" t="b">
        <v>0</v>
      </c>
      <c r="BM33" s="332" t="s">
        <v>375</v>
      </c>
      <c r="BN33" s="332" t="s">
        <v>376</v>
      </c>
      <c r="BO33" s="332">
        <v>0.87876114180294196</v>
      </c>
      <c r="BP33" s="332">
        <v>1</v>
      </c>
      <c r="BQ33" s="332">
        <v>234</v>
      </c>
      <c r="BR33" s="332" t="s">
        <v>377</v>
      </c>
      <c r="BS33" s="332" t="s">
        <v>378</v>
      </c>
      <c r="BT33" s="332">
        <v>2</v>
      </c>
      <c r="BU33" s="332">
        <v>20</v>
      </c>
    </row>
    <row r="34" spans="1:73" s="332" customFormat="1">
      <c r="A34" s="332">
        <v>32</v>
      </c>
      <c r="B34" s="333">
        <v>43251.049745370372</v>
      </c>
      <c r="C34" s="332">
        <v>9081.359375</v>
      </c>
      <c r="D34" s="332">
        <v>1213.8067711127601</v>
      </c>
      <c r="E34" s="334">
        <v>2.0328852899417801E-5</v>
      </c>
      <c r="F34" s="332">
        <v>560.50011790790199</v>
      </c>
      <c r="G34" s="332">
        <v>87.636479056111298</v>
      </c>
      <c r="H34" s="332">
        <v>39.566000000000003</v>
      </c>
      <c r="I34" s="332">
        <v>350.06</v>
      </c>
      <c r="J34" s="332">
        <v>13.85047396</v>
      </c>
      <c r="K34" s="332" t="s">
        <v>367</v>
      </c>
      <c r="L34" s="332" t="s">
        <v>368</v>
      </c>
      <c r="M34" s="332" t="s">
        <v>368</v>
      </c>
      <c r="N34" s="332" t="s">
        <v>368</v>
      </c>
      <c r="O34" s="332" t="s">
        <v>368</v>
      </c>
      <c r="P34" s="332">
        <v>1291.43521367995</v>
      </c>
      <c r="Q34" s="332">
        <v>1213.8067711127601</v>
      </c>
      <c r="R34" s="332">
        <v>486.12240934647002</v>
      </c>
      <c r="S34" s="332">
        <v>0.43172112906411297</v>
      </c>
      <c r="T34" s="332">
        <v>0.40577028111015301</v>
      </c>
      <c r="U34" s="332">
        <v>0.246493511286143</v>
      </c>
      <c r="V34" s="332">
        <v>0.34751510164639299</v>
      </c>
      <c r="W34" s="332">
        <v>0.246493511286143</v>
      </c>
      <c r="X34" s="332">
        <v>0.52127265246958898</v>
      </c>
      <c r="Y34" s="332">
        <v>581.90637188154699</v>
      </c>
      <c r="Z34" s="332">
        <v>51.3909530525953</v>
      </c>
      <c r="AA34" s="332">
        <v>3103.5219368626699</v>
      </c>
      <c r="AB34" s="332">
        <v>1.4328178041395601</v>
      </c>
      <c r="AC34" s="332">
        <v>93.497343921549998</v>
      </c>
      <c r="AD34" s="332">
        <v>93.718269016365895</v>
      </c>
      <c r="AE34" s="332">
        <v>95.546564510786794</v>
      </c>
      <c r="AF34" s="332">
        <v>97.481256459504706</v>
      </c>
      <c r="AG34" s="332">
        <v>95.3481402662688</v>
      </c>
      <c r="AH34" s="332">
        <v>93.947707007461602</v>
      </c>
      <c r="AI34" s="332">
        <v>96.0005102409052</v>
      </c>
      <c r="AJ34" s="332">
        <v>93.148013101873204</v>
      </c>
      <c r="AK34" s="332">
        <v>82.788290769234095</v>
      </c>
      <c r="AL34" s="332">
        <v>58.564268204711503</v>
      </c>
      <c r="AM34" s="332">
        <v>90.045168302025701</v>
      </c>
      <c r="AN34" s="332">
        <v>97.024975148461905</v>
      </c>
      <c r="AO34" s="332">
        <v>88.629803197557607</v>
      </c>
      <c r="AP34" s="332">
        <v>94.103386591325304</v>
      </c>
      <c r="AQ34" s="332">
        <v>98.068042192411397</v>
      </c>
      <c r="AR34" s="332">
        <v>88.620610713020397</v>
      </c>
      <c r="AS34" s="332">
        <v>4.1242636938285004</v>
      </c>
      <c r="AT34" s="332">
        <v>617.36154591389197</v>
      </c>
      <c r="AU34" s="332">
        <v>447.542233662917</v>
      </c>
      <c r="AV34" s="332">
        <v>380.21260590085399</v>
      </c>
      <c r="AW34" s="332" t="s">
        <v>368</v>
      </c>
      <c r="AX34" s="332" t="s">
        <v>368</v>
      </c>
      <c r="AY34" s="332">
        <v>596.75997830193</v>
      </c>
      <c r="AZ34" s="332">
        <v>447.73490466016699</v>
      </c>
      <c r="BA34" s="332">
        <v>381.49917671437299</v>
      </c>
      <c r="BB34" s="332" t="s">
        <v>368</v>
      </c>
      <c r="BC34" s="332" t="s">
        <v>368</v>
      </c>
      <c r="BD34" s="332" t="s">
        <v>369</v>
      </c>
      <c r="BE34" s="332" t="s">
        <v>408</v>
      </c>
      <c r="BF34" s="332" t="s">
        <v>371</v>
      </c>
      <c r="BG34" s="332" t="s">
        <v>372</v>
      </c>
      <c r="BH34" s="332" t="s">
        <v>373</v>
      </c>
      <c r="BI34" s="332">
        <v>350</v>
      </c>
      <c r="BJ34" s="332">
        <v>45</v>
      </c>
      <c r="BK34" s="332" t="s">
        <v>374</v>
      </c>
      <c r="BL34" s="332" t="b">
        <v>0</v>
      </c>
      <c r="BM34" s="332" t="s">
        <v>375</v>
      </c>
      <c r="BN34" s="332" t="s">
        <v>376</v>
      </c>
      <c r="BO34" s="332">
        <v>0.87876114180294196</v>
      </c>
      <c r="BP34" s="332">
        <v>1</v>
      </c>
      <c r="BQ34" s="332">
        <v>234</v>
      </c>
      <c r="BR34" s="332" t="s">
        <v>377</v>
      </c>
      <c r="BS34" s="332" t="s">
        <v>378</v>
      </c>
      <c r="BT34" s="332">
        <v>2</v>
      </c>
      <c r="BU34" s="332">
        <v>20</v>
      </c>
    </row>
    <row r="35" spans="1:73" s="331" customFormat="1">
      <c r="A35" s="331">
        <v>33</v>
      </c>
      <c r="B35" s="341">
        <v>43251.050497685188</v>
      </c>
      <c r="C35" s="331">
        <v>9146.34375</v>
      </c>
      <c r="D35" s="331">
        <v>1328.90945113199</v>
      </c>
      <c r="E35" s="342">
        <v>2.2172780933520701E-5</v>
      </c>
      <c r="F35" s="331">
        <v>534.90745180788701</v>
      </c>
      <c r="G35" s="331">
        <v>82.283226961176695</v>
      </c>
      <c r="H35" s="331">
        <v>40.368000000000002</v>
      </c>
      <c r="I35" s="331">
        <v>400.08</v>
      </c>
      <c r="J35" s="331">
        <v>16.15042944</v>
      </c>
      <c r="K35" s="331" t="s">
        <v>367</v>
      </c>
      <c r="L35" s="331" t="s">
        <v>368</v>
      </c>
      <c r="M35" s="331" t="s">
        <v>368</v>
      </c>
      <c r="N35" s="331" t="s">
        <v>368</v>
      </c>
      <c r="O35" s="331" t="s">
        <v>368</v>
      </c>
      <c r="P35" s="331">
        <v>1411.78531303464</v>
      </c>
      <c r="Q35" s="331">
        <v>1328.90945113199</v>
      </c>
      <c r="R35" s="331">
        <v>534.22283156318201</v>
      </c>
      <c r="S35" s="331">
        <v>0.43109033182253897</v>
      </c>
      <c r="T35" s="331">
        <v>0.40578408838890101</v>
      </c>
      <c r="U35" s="331">
        <v>0.24608322001079</v>
      </c>
      <c r="V35" s="331">
        <v>0.34745613991520802</v>
      </c>
      <c r="W35" s="331">
        <v>0.24608322001079</v>
      </c>
      <c r="X35" s="331">
        <v>0.521184209872813</v>
      </c>
      <c r="Y35" s="331">
        <v>581.82287172694396</v>
      </c>
      <c r="Z35" s="331">
        <v>51.205778733611098</v>
      </c>
      <c r="AA35" s="331">
        <v>3114.80016418079</v>
      </c>
      <c r="AB35" s="331">
        <v>1.5356728862758999</v>
      </c>
      <c r="AC35" s="331">
        <v>93.209464776033997</v>
      </c>
      <c r="AD35" s="331">
        <v>93.311527338243593</v>
      </c>
      <c r="AE35" s="331">
        <v>95.373689467852699</v>
      </c>
      <c r="AF35" s="331">
        <v>97.587336667775602</v>
      </c>
      <c r="AG35" s="331">
        <v>95.090957310843606</v>
      </c>
      <c r="AH35" s="331">
        <v>93.563611433198204</v>
      </c>
      <c r="AI35" s="331">
        <v>95.779323982772397</v>
      </c>
      <c r="AJ35" s="331">
        <v>92.918947795436495</v>
      </c>
      <c r="AK35" s="331">
        <v>82.050324212149903</v>
      </c>
      <c r="AL35" s="331">
        <v>56.810905660209002</v>
      </c>
      <c r="AM35" s="331">
        <v>89.648575072829502</v>
      </c>
      <c r="AN35" s="331">
        <v>96.973507323399403</v>
      </c>
      <c r="AO35" s="331">
        <v>88.142660556313501</v>
      </c>
      <c r="AP35" s="331">
        <v>93.755246598503902</v>
      </c>
      <c r="AQ35" s="331">
        <v>98.1429184552659</v>
      </c>
      <c r="AR35" s="331">
        <v>88.082618541808003</v>
      </c>
      <c r="AS35" s="331">
        <v>4.5005745943194002</v>
      </c>
      <c r="AT35" s="331">
        <v>616.53873519809804</v>
      </c>
      <c r="AU35" s="331">
        <v>448.493450364404</v>
      </c>
      <c r="AV35" s="331">
        <v>361.19996777125698</v>
      </c>
      <c r="AW35" s="331" t="s">
        <v>368</v>
      </c>
      <c r="AX35" s="331" t="s">
        <v>368</v>
      </c>
      <c r="AY35" s="331">
        <v>617.278051037458</v>
      </c>
      <c r="AZ35" s="331">
        <v>447.73490466016699</v>
      </c>
      <c r="BA35" s="331">
        <v>360.22918025353999</v>
      </c>
      <c r="BB35" s="331" t="s">
        <v>368</v>
      </c>
      <c r="BC35" s="331" t="s">
        <v>368</v>
      </c>
      <c r="BD35" s="331" t="s">
        <v>369</v>
      </c>
      <c r="BE35" s="331" t="s">
        <v>409</v>
      </c>
      <c r="BF35" s="331" t="s">
        <v>371</v>
      </c>
      <c r="BG35" s="331" t="s">
        <v>372</v>
      </c>
      <c r="BH35" s="331" t="s">
        <v>373</v>
      </c>
      <c r="BI35" s="331">
        <v>400</v>
      </c>
      <c r="BJ35" s="331">
        <v>45</v>
      </c>
      <c r="BK35" s="331" t="s">
        <v>374</v>
      </c>
      <c r="BL35" s="331" t="b">
        <v>0</v>
      </c>
      <c r="BM35" s="331" t="s">
        <v>375</v>
      </c>
      <c r="BN35" s="331" t="s">
        <v>376</v>
      </c>
      <c r="BO35" s="331">
        <v>0.87876114180294196</v>
      </c>
      <c r="BP35" s="331">
        <v>1</v>
      </c>
      <c r="BQ35" s="331">
        <v>234</v>
      </c>
      <c r="BR35" s="331" t="s">
        <v>377</v>
      </c>
      <c r="BS35" s="331" t="s">
        <v>378</v>
      </c>
      <c r="BT35" s="331">
        <v>2</v>
      </c>
      <c r="BU35" s="331">
        <v>20</v>
      </c>
    </row>
    <row r="36" spans="1:73" s="332" customFormat="1">
      <c r="A36" s="332">
        <v>34</v>
      </c>
      <c r="B36" s="333">
        <v>43251.052476851852</v>
      </c>
      <c r="C36" s="332">
        <v>9317.28125</v>
      </c>
      <c r="D36" s="332">
        <v>724.63208821372098</v>
      </c>
      <c r="E36" s="334">
        <v>1.2276209255589301E-5</v>
      </c>
      <c r="F36" s="332">
        <v>677.07072934922201</v>
      </c>
      <c r="G36" s="332">
        <v>111.976485339891</v>
      </c>
      <c r="H36" s="332">
        <v>36.978999999999999</v>
      </c>
      <c r="I36" s="332">
        <v>174.999</v>
      </c>
      <c r="J36" s="332">
        <v>6.4712880210000003</v>
      </c>
      <c r="K36" s="332" t="s">
        <v>367</v>
      </c>
      <c r="L36" s="332" t="s">
        <v>368</v>
      </c>
      <c r="M36" s="332" t="s">
        <v>368</v>
      </c>
      <c r="N36" s="332" t="s">
        <v>368</v>
      </c>
      <c r="O36" s="332" t="s">
        <v>368</v>
      </c>
      <c r="P36" s="332">
        <v>770.97492207736002</v>
      </c>
      <c r="Q36" s="332">
        <v>724.63208821372098</v>
      </c>
      <c r="R36" s="332">
        <v>269.72544344708098</v>
      </c>
      <c r="S36" s="332">
        <v>0.436730724824545</v>
      </c>
      <c r="T36" s="332">
        <v>0.410479106459117</v>
      </c>
      <c r="U36" s="332">
        <v>0.24771009662947899</v>
      </c>
      <c r="V36" s="332">
        <v>0.34923058996897799</v>
      </c>
      <c r="W36" s="332">
        <v>0.24771009662947899</v>
      </c>
      <c r="X36" s="332">
        <v>0.52384588495346696</v>
      </c>
      <c r="Y36" s="332">
        <v>581.73871814383904</v>
      </c>
      <c r="Z36" s="332">
        <v>54.314294392857398</v>
      </c>
      <c r="AA36" s="332">
        <v>3054.8807071619899</v>
      </c>
      <c r="AB36" s="332">
        <v>2.56480187267851</v>
      </c>
      <c r="AC36" s="332">
        <v>94.557324700944704</v>
      </c>
      <c r="AD36" s="332">
        <v>94.999622406173202</v>
      </c>
      <c r="AE36" s="332">
        <v>95.692083330304897</v>
      </c>
      <c r="AF36" s="332">
        <v>96.615716479466897</v>
      </c>
      <c r="AG36" s="332">
        <v>96.387828606085094</v>
      </c>
      <c r="AH36" s="332">
        <v>95.043323944377406</v>
      </c>
      <c r="AI36" s="332">
        <v>96.373512590858496</v>
      </c>
      <c r="AJ36" s="332">
        <v>94.814175248026501</v>
      </c>
      <c r="AK36" s="332">
        <v>86.532335002265299</v>
      </c>
      <c r="AL36" s="332">
        <v>66.581407629423197</v>
      </c>
      <c r="AM36" s="332">
        <v>90.685317805398299</v>
      </c>
      <c r="AN36" s="332">
        <v>96.849768362588506</v>
      </c>
      <c r="AO36" s="332">
        <v>89.556445840190506</v>
      </c>
      <c r="AP36" s="332">
        <v>94.954986330638903</v>
      </c>
      <c r="AQ36" s="332">
        <v>97.588593554314798</v>
      </c>
      <c r="AR36" s="332">
        <v>90.396655839111801</v>
      </c>
      <c r="AS36" s="332">
        <v>2.48141030524013</v>
      </c>
      <c r="AT36" s="332">
        <v>623.061159705779</v>
      </c>
      <c r="AU36" s="332">
        <v>446.11702782621097</v>
      </c>
      <c r="AV36" s="332">
        <v>361.71165775849801</v>
      </c>
      <c r="AW36" s="332" t="s">
        <v>368</v>
      </c>
      <c r="AX36" s="332" t="s">
        <v>368</v>
      </c>
      <c r="AY36" s="332">
        <v>598.85848419835702</v>
      </c>
      <c r="AZ36" s="332">
        <v>446.54837957105002</v>
      </c>
      <c r="BA36" s="332">
        <v>361.41084672358699</v>
      </c>
      <c r="BB36" s="332" t="s">
        <v>368</v>
      </c>
      <c r="BC36" s="332" t="s">
        <v>368</v>
      </c>
      <c r="BD36" s="332" t="s">
        <v>369</v>
      </c>
      <c r="BE36" s="332" t="s">
        <v>410</v>
      </c>
      <c r="BF36" s="332" t="s">
        <v>371</v>
      </c>
      <c r="BG36" s="332" t="s">
        <v>372</v>
      </c>
      <c r="BH36" s="332" t="s">
        <v>373</v>
      </c>
      <c r="BI36" s="332">
        <v>175</v>
      </c>
      <c r="BJ36" s="332">
        <v>45</v>
      </c>
      <c r="BK36" s="332" t="s">
        <v>374</v>
      </c>
      <c r="BL36" s="332" t="b">
        <v>0</v>
      </c>
      <c r="BM36" s="332" t="s">
        <v>375</v>
      </c>
      <c r="BN36" s="332" t="s">
        <v>376</v>
      </c>
      <c r="BO36" s="332">
        <v>0.87876114180294196</v>
      </c>
      <c r="BP36" s="332">
        <v>1</v>
      </c>
      <c r="BQ36" s="332">
        <v>234</v>
      </c>
      <c r="BR36" s="332" t="s">
        <v>377</v>
      </c>
      <c r="BS36" s="332" t="s">
        <v>378</v>
      </c>
      <c r="BT36" s="332">
        <v>2</v>
      </c>
      <c r="BU36" s="332">
        <v>20</v>
      </c>
    </row>
    <row r="37" spans="1:73" s="335" customFormat="1">
      <c r="A37" s="335">
        <v>35</v>
      </c>
      <c r="B37" s="336">
        <v>43251.054143518515</v>
      </c>
      <c r="C37" s="335">
        <v>9460.75</v>
      </c>
      <c r="D37" s="335">
        <v>700.90972870266103</v>
      </c>
      <c r="E37" s="337">
        <v>1.1892801227102899E-5</v>
      </c>
      <c r="F37" s="335">
        <v>655.92084822242896</v>
      </c>
      <c r="G37" s="335">
        <v>110.357326474237</v>
      </c>
      <c r="H37" s="335">
        <v>36.292999999999999</v>
      </c>
      <c r="I37" s="335">
        <v>175</v>
      </c>
      <c r="J37" s="335">
        <v>6.3512750000000002</v>
      </c>
      <c r="K37" s="335" t="s">
        <v>367</v>
      </c>
      <c r="L37" s="335" t="s">
        <v>368</v>
      </c>
      <c r="M37" s="335" t="s">
        <v>368</v>
      </c>
      <c r="N37" s="335" t="s">
        <v>368</v>
      </c>
      <c r="O37" s="335" t="s">
        <v>368</v>
      </c>
      <c r="P37" s="335">
        <v>750.56452550580298</v>
      </c>
      <c r="Q37" s="335">
        <v>700.90972870266103</v>
      </c>
      <c r="R37" s="335">
        <v>275.87706857486</v>
      </c>
      <c r="S37" s="335">
        <v>0.434517585164088</v>
      </c>
      <c r="T37" s="335">
        <v>0.40577137925437601</v>
      </c>
      <c r="U37" s="335">
        <v>0.24828791064269301</v>
      </c>
      <c r="V37" s="335">
        <v>0.34779304012158802</v>
      </c>
      <c r="W37" s="335">
        <v>0.24828791064269301</v>
      </c>
      <c r="X37" s="335">
        <v>0.521689560182382</v>
      </c>
      <c r="Y37" s="335">
        <v>582.25862065274396</v>
      </c>
      <c r="Z37" s="335">
        <v>52.230655262469703</v>
      </c>
      <c r="AA37" s="335">
        <v>3054.7534307616102</v>
      </c>
      <c r="AB37" s="335">
        <v>1.0154805813954999</v>
      </c>
      <c r="AC37" s="335">
        <v>94.549394798640407</v>
      </c>
      <c r="AD37" s="335">
        <v>95.110076694295998</v>
      </c>
      <c r="AE37" s="335">
        <v>96.378034336249698</v>
      </c>
      <c r="AF37" s="335">
        <v>97.585445600016897</v>
      </c>
      <c r="AG37" s="335">
        <v>96.153828119219597</v>
      </c>
      <c r="AH37" s="335">
        <v>95.317995158363303</v>
      </c>
      <c r="AI37" s="335">
        <v>96.984578343023202</v>
      </c>
      <c r="AJ37" s="335">
        <v>93.8210829343532</v>
      </c>
      <c r="AK37" s="335">
        <v>85.044117203601701</v>
      </c>
      <c r="AL37" s="335">
        <v>64.210254608912507</v>
      </c>
      <c r="AM37" s="335">
        <v>91.943427949061004</v>
      </c>
      <c r="AN37" s="335">
        <v>96.767592424857099</v>
      </c>
      <c r="AO37" s="335">
        <v>90.317525860483499</v>
      </c>
      <c r="AP37" s="335">
        <v>95.394504748064406</v>
      </c>
      <c r="AQ37" s="335">
        <v>98.075689169402906</v>
      </c>
      <c r="AR37" s="335">
        <v>90.422108350892699</v>
      </c>
      <c r="AS37" s="335">
        <v>2.40606176017502</v>
      </c>
      <c r="AT37" s="335">
        <v>622.01964195926405</v>
      </c>
      <c r="AU37" s="335">
        <v>447.05020013017401</v>
      </c>
      <c r="AV37" s="335">
        <v>367.19136216422601</v>
      </c>
      <c r="AW37" s="335" t="s">
        <v>368</v>
      </c>
      <c r="AX37" s="335" t="s">
        <v>368</v>
      </c>
      <c r="AY37" s="335">
        <v>622.09625093756495</v>
      </c>
      <c r="AZ37" s="335">
        <v>447.73490466016699</v>
      </c>
      <c r="BA37" s="335">
        <v>366.137512603772</v>
      </c>
      <c r="BB37" s="335" t="s">
        <v>368</v>
      </c>
      <c r="BC37" s="335" t="s">
        <v>368</v>
      </c>
      <c r="BD37" s="335" t="s">
        <v>369</v>
      </c>
      <c r="BE37" s="335" t="s">
        <v>403</v>
      </c>
      <c r="BF37" s="335" t="s">
        <v>371</v>
      </c>
      <c r="BG37" s="335" t="s">
        <v>372</v>
      </c>
      <c r="BH37" s="335" t="s">
        <v>373</v>
      </c>
      <c r="BI37" s="335">
        <v>175</v>
      </c>
      <c r="BJ37" s="335">
        <v>45</v>
      </c>
      <c r="BK37" s="335" t="s">
        <v>374</v>
      </c>
      <c r="BL37" s="335" t="b">
        <v>0</v>
      </c>
      <c r="BM37" s="335" t="s">
        <v>375</v>
      </c>
      <c r="BN37" s="335" t="s">
        <v>376</v>
      </c>
      <c r="BO37" s="335">
        <v>0.87876114180294196</v>
      </c>
      <c r="BP37" s="335">
        <v>1</v>
      </c>
      <c r="BQ37" s="335">
        <v>234</v>
      </c>
      <c r="BR37" s="335" t="s">
        <v>377</v>
      </c>
      <c r="BS37" s="335" t="s">
        <v>378</v>
      </c>
      <c r="BT37" s="335">
        <v>2</v>
      </c>
      <c r="BU37" s="335">
        <v>20</v>
      </c>
    </row>
    <row r="38" spans="1:73" s="335" customFormat="1">
      <c r="A38" s="335">
        <v>36</v>
      </c>
      <c r="B38" s="336">
        <v>43251.057673611111</v>
      </c>
      <c r="C38" s="335">
        <v>9765.9375</v>
      </c>
      <c r="D38" s="335">
        <v>676.15551007553495</v>
      </c>
      <c r="E38" s="337">
        <v>1.14392061610667E-5</v>
      </c>
      <c r="F38" s="335">
        <v>630.90022187509396</v>
      </c>
      <c r="G38" s="335">
        <v>107.78073235436</v>
      </c>
      <c r="H38" s="335">
        <v>35.847999999999999</v>
      </c>
      <c r="I38" s="335">
        <v>175.001</v>
      </c>
      <c r="J38" s="335">
        <v>6.2734358480000001</v>
      </c>
      <c r="K38" s="335" t="s">
        <v>367</v>
      </c>
      <c r="L38" s="335" t="s">
        <v>368</v>
      </c>
      <c r="M38" s="335" t="s">
        <v>368</v>
      </c>
      <c r="N38" s="335" t="s">
        <v>368</v>
      </c>
      <c r="O38" s="335" t="s">
        <v>368</v>
      </c>
      <c r="P38" s="335">
        <v>725.33405874341395</v>
      </c>
      <c r="Q38" s="335">
        <v>676.15551007553495</v>
      </c>
      <c r="R38" s="335">
        <v>265.66490656293598</v>
      </c>
      <c r="S38" s="335">
        <v>0.43507309577732201</v>
      </c>
      <c r="T38" s="335">
        <v>0.40557460035048798</v>
      </c>
      <c r="U38" s="335">
        <v>0.248728713858761</v>
      </c>
      <c r="V38" s="335">
        <v>0.34779689791685803</v>
      </c>
      <c r="W38" s="335">
        <v>0.248728713858761</v>
      </c>
      <c r="X38" s="335">
        <v>0.52169534687528596</v>
      </c>
      <c r="Y38" s="335">
        <v>582.36136553671395</v>
      </c>
      <c r="Z38" s="335">
        <v>52.338066975076003</v>
      </c>
      <c r="AA38" s="335">
        <v>3043.60180129336</v>
      </c>
      <c r="AB38" s="335">
        <v>0.85653680170626501</v>
      </c>
      <c r="AC38" s="335">
        <v>94.258596440594701</v>
      </c>
      <c r="AD38" s="335">
        <v>94.631368188820005</v>
      </c>
      <c r="AE38" s="335">
        <v>96.539719261264807</v>
      </c>
      <c r="AF38" s="335">
        <v>98.324237484550196</v>
      </c>
      <c r="AG38" s="335">
        <v>96.028809027075894</v>
      </c>
      <c r="AH38" s="335">
        <v>94.953780164709499</v>
      </c>
      <c r="AI38" s="335">
        <v>97.090771674693599</v>
      </c>
      <c r="AJ38" s="335">
        <v>93.143619662198702</v>
      </c>
      <c r="AK38" s="335">
        <v>83.356466061444806</v>
      </c>
      <c r="AL38" s="335">
        <v>60.811556399408097</v>
      </c>
      <c r="AM38" s="335">
        <v>92.182797469781804</v>
      </c>
      <c r="AN38" s="335">
        <v>97.349631611138093</v>
      </c>
      <c r="AO38" s="335">
        <v>89.678392113216702</v>
      </c>
      <c r="AP38" s="335">
        <v>95.166257826487495</v>
      </c>
      <c r="AQ38" s="335">
        <v>98.488831463432206</v>
      </c>
      <c r="AR38" s="335">
        <v>89.635360013800394</v>
      </c>
      <c r="AS38" s="335">
        <v>2.3148871750458002</v>
      </c>
      <c r="AT38" s="335">
        <v>617.24297939823805</v>
      </c>
      <c r="AU38" s="335">
        <v>448.78695369420501</v>
      </c>
      <c r="AV38" s="335">
        <v>381.53998092933898</v>
      </c>
      <c r="AW38" s="335" t="s">
        <v>368</v>
      </c>
      <c r="AX38" s="335" t="s">
        <v>368</v>
      </c>
      <c r="AY38" s="335">
        <v>617.278051037458</v>
      </c>
      <c r="AZ38" s="335">
        <v>448.92142974928299</v>
      </c>
      <c r="BA38" s="335">
        <v>381.49917671437299</v>
      </c>
      <c r="BB38" s="335" t="s">
        <v>368</v>
      </c>
      <c r="BC38" s="335" t="s">
        <v>368</v>
      </c>
      <c r="BD38" s="335" t="s">
        <v>369</v>
      </c>
      <c r="BE38" s="335" t="s">
        <v>411</v>
      </c>
      <c r="BF38" s="335" t="s">
        <v>371</v>
      </c>
      <c r="BG38" s="335" t="s">
        <v>372</v>
      </c>
      <c r="BH38" s="335" t="s">
        <v>373</v>
      </c>
      <c r="BI38" s="335">
        <v>175</v>
      </c>
      <c r="BJ38" s="335">
        <v>45</v>
      </c>
      <c r="BK38" s="335" t="s">
        <v>374</v>
      </c>
      <c r="BL38" s="335" t="b">
        <v>0</v>
      </c>
      <c r="BM38" s="335" t="s">
        <v>375</v>
      </c>
      <c r="BN38" s="335" t="s">
        <v>376</v>
      </c>
      <c r="BO38" s="335">
        <v>0.87876114180294196</v>
      </c>
      <c r="BP38" s="335">
        <v>1</v>
      </c>
      <c r="BQ38" s="335">
        <v>234</v>
      </c>
      <c r="BR38" s="335" t="s">
        <v>377</v>
      </c>
      <c r="BS38" s="335" t="s">
        <v>378</v>
      </c>
      <c r="BT38" s="335">
        <v>2</v>
      </c>
      <c r="BU38" s="335">
        <v>20</v>
      </c>
    </row>
    <row r="39" spans="1:73" s="335" customFormat="1">
      <c r="A39" s="335">
        <v>37</v>
      </c>
      <c r="B39" s="336">
        <v>43251.05982638889</v>
      </c>
      <c r="C39" s="335">
        <v>9952.359375</v>
      </c>
      <c r="D39" s="335">
        <v>647.25571684449801</v>
      </c>
      <c r="E39" s="337">
        <v>1.0900589342058499E-5</v>
      </c>
      <c r="F39" s="335">
        <v>601.19418582388198</v>
      </c>
      <c r="G39" s="335">
        <v>104.297077477144</v>
      </c>
      <c r="H39" s="335">
        <v>35.462000000000003</v>
      </c>
      <c r="I39" s="335">
        <v>175.001</v>
      </c>
      <c r="J39" s="335">
        <v>6.2058854620000004</v>
      </c>
      <c r="K39" s="335" t="s">
        <v>367</v>
      </c>
      <c r="L39" s="335" t="s">
        <v>368</v>
      </c>
      <c r="M39" s="335" t="s">
        <v>368</v>
      </c>
      <c r="N39" s="335" t="s">
        <v>368</v>
      </c>
      <c r="O39" s="335" t="s">
        <v>368</v>
      </c>
      <c r="P39" s="335">
        <v>694.90086449675596</v>
      </c>
      <c r="Q39" s="335">
        <v>647.25571684449801</v>
      </c>
      <c r="R39" s="335">
        <v>255.374871770553</v>
      </c>
      <c r="S39" s="335">
        <v>0.434984152044812</v>
      </c>
      <c r="T39" s="335">
        <v>0.40515992069121298</v>
      </c>
      <c r="U39" s="335">
        <v>0.24884852194094001</v>
      </c>
      <c r="V39" s="335">
        <v>0.347679726743228</v>
      </c>
      <c r="W39" s="335">
        <v>0.24884852194094001</v>
      </c>
      <c r="X39" s="335">
        <v>0.52151959011484195</v>
      </c>
      <c r="Y39" s="335">
        <v>582.42248295671504</v>
      </c>
      <c r="Z39" s="335">
        <v>52.186346434949201</v>
      </c>
      <c r="AA39" s="335">
        <v>3041.7515164019501</v>
      </c>
      <c r="AB39" s="335">
        <v>0.70356618032904195</v>
      </c>
      <c r="AC39" s="335">
        <v>93.821621370790197</v>
      </c>
      <c r="AD39" s="335">
        <v>94.0429967423497</v>
      </c>
      <c r="AE39" s="335">
        <v>96.626582117489605</v>
      </c>
      <c r="AF39" s="335">
        <v>98.946045521582207</v>
      </c>
      <c r="AG39" s="335">
        <v>95.488122823453196</v>
      </c>
      <c r="AH39" s="335">
        <v>94.437851736785603</v>
      </c>
      <c r="AI39" s="335">
        <v>97.071665900448394</v>
      </c>
      <c r="AJ39" s="335">
        <v>92.342155251700305</v>
      </c>
      <c r="AK39" s="335">
        <v>81.617550872512695</v>
      </c>
      <c r="AL39" s="335">
        <v>57.3163444065326</v>
      </c>
      <c r="AM39" s="335">
        <v>92.289524441695306</v>
      </c>
      <c r="AN39" s="335">
        <v>97.463558985251495</v>
      </c>
      <c r="AO39" s="335">
        <v>88.820162219383505</v>
      </c>
      <c r="AP39" s="335">
        <v>94.818804478535995</v>
      </c>
      <c r="AQ39" s="335">
        <v>98.909957569538804</v>
      </c>
      <c r="AR39" s="335">
        <v>88.777182483789403</v>
      </c>
      <c r="AS39" s="335">
        <v>2.2043844417712002</v>
      </c>
      <c r="AT39" s="335">
        <v>617.03344050583701</v>
      </c>
      <c r="AU39" s="335">
        <v>450.95077542965998</v>
      </c>
      <c r="AV39" s="335">
        <v>365.43884746217901</v>
      </c>
      <c r="AW39" s="335" t="s">
        <v>368</v>
      </c>
      <c r="AX39" s="335" t="s">
        <v>368</v>
      </c>
      <c r="AY39" s="335">
        <v>616.073501062432</v>
      </c>
      <c r="AZ39" s="335">
        <v>450.10795483840002</v>
      </c>
      <c r="BA39" s="335">
        <v>366.137512603772</v>
      </c>
      <c r="BB39" s="335" t="s">
        <v>368</v>
      </c>
      <c r="BC39" s="335" t="s">
        <v>368</v>
      </c>
      <c r="BD39" s="335" t="s">
        <v>369</v>
      </c>
      <c r="BE39" s="335" t="s">
        <v>412</v>
      </c>
      <c r="BF39" s="335" t="s">
        <v>371</v>
      </c>
      <c r="BG39" s="335" t="s">
        <v>372</v>
      </c>
      <c r="BH39" s="335" t="s">
        <v>373</v>
      </c>
      <c r="BI39" s="335">
        <v>175</v>
      </c>
      <c r="BJ39" s="335">
        <v>45</v>
      </c>
      <c r="BK39" s="335" t="s">
        <v>374</v>
      </c>
      <c r="BL39" s="335" t="b">
        <v>0</v>
      </c>
      <c r="BM39" s="335" t="s">
        <v>375</v>
      </c>
      <c r="BN39" s="335" t="s">
        <v>376</v>
      </c>
      <c r="BO39" s="335">
        <v>0.87876114180294196</v>
      </c>
      <c r="BP39" s="335">
        <v>1</v>
      </c>
      <c r="BQ39" s="335">
        <v>234</v>
      </c>
      <c r="BR39" s="335" t="s">
        <v>377</v>
      </c>
      <c r="BS39" s="335" t="s">
        <v>378</v>
      </c>
      <c r="BT39" s="335">
        <v>2</v>
      </c>
      <c r="BU39" s="335">
        <v>20</v>
      </c>
    </row>
    <row r="40" spans="1:73" s="335" customFormat="1">
      <c r="A40" s="335">
        <v>38</v>
      </c>
      <c r="B40" s="336">
        <v>43251.064201388886</v>
      </c>
      <c r="C40" s="335">
        <v>10330.265625</v>
      </c>
      <c r="D40" s="335">
        <v>645.08418234335704</v>
      </c>
      <c r="E40" s="337">
        <v>1.08582218683059E-5</v>
      </c>
      <c r="F40" s="335">
        <v>598.85751593486702</v>
      </c>
      <c r="G40" s="335">
        <v>104.026365565779</v>
      </c>
      <c r="H40" s="335">
        <v>35.435000000000002</v>
      </c>
      <c r="I40" s="335">
        <v>175.001</v>
      </c>
      <c r="J40" s="335">
        <v>6.2011604350000002</v>
      </c>
      <c r="K40" s="335" t="s">
        <v>367</v>
      </c>
      <c r="L40" s="335" t="s">
        <v>368</v>
      </c>
      <c r="M40" s="335" t="s">
        <v>368</v>
      </c>
      <c r="N40" s="335" t="s">
        <v>368</v>
      </c>
      <c r="O40" s="335" t="s">
        <v>368</v>
      </c>
      <c r="P40" s="335">
        <v>692.55239313166999</v>
      </c>
      <c r="Q40" s="335">
        <v>645.08418234335704</v>
      </c>
      <c r="R40" s="335">
        <v>254.50997761300201</v>
      </c>
      <c r="S40" s="335">
        <v>0.43498030491504502</v>
      </c>
      <c r="T40" s="335">
        <v>0.40516633414944903</v>
      </c>
      <c r="U40" s="335">
        <v>0.24884330815449199</v>
      </c>
      <c r="V40" s="335">
        <v>0.34768102073817497</v>
      </c>
      <c r="W40" s="335">
        <v>0.24884330815449199</v>
      </c>
      <c r="X40" s="335">
        <v>0.52152153110726296</v>
      </c>
      <c r="Y40" s="335">
        <v>582.42089171125997</v>
      </c>
      <c r="Z40" s="335">
        <v>52.187125320482501</v>
      </c>
      <c r="AA40" s="335">
        <v>3041.8698201352199</v>
      </c>
      <c r="AB40" s="335">
        <v>0.70668269677434803</v>
      </c>
      <c r="AC40" s="335">
        <v>93.768724285701794</v>
      </c>
      <c r="AD40" s="335">
        <v>93.975438202937497</v>
      </c>
      <c r="AE40" s="335">
        <v>96.612788205545996</v>
      </c>
      <c r="AF40" s="335">
        <v>98.964626808386598</v>
      </c>
      <c r="AG40" s="335">
        <v>95.414532917820196</v>
      </c>
      <c r="AH40" s="335">
        <v>94.366858753576906</v>
      </c>
      <c r="AI40" s="335">
        <v>97.045708817267297</v>
      </c>
      <c r="AJ40" s="335">
        <v>92.285877756224096</v>
      </c>
      <c r="AK40" s="335">
        <v>81.483962823856004</v>
      </c>
      <c r="AL40" s="335">
        <v>57.031258275235203</v>
      </c>
      <c r="AM40" s="335">
        <v>92.239454326316604</v>
      </c>
      <c r="AN40" s="335">
        <v>97.428735979514002</v>
      </c>
      <c r="AO40" s="335">
        <v>88.699179654028697</v>
      </c>
      <c r="AP40" s="335">
        <v>94.766529495344301</v>
      </c>
      <c r="AQ40" s="335">
        <v>98.926209757453506</v>
      </c>
      <c r="AR40" s="335">
        <v>88.698253272802106</v>
      </c>
      <c r="AS40" s="335">
        <v>2.19629007879765</v>
      </c>
      <c r="AT40" s="335">
        <v>617.143156325316</v>
      </c>
      <c r="AU40" s="335">
        <v>450.749120345488</v>
      </c>
      <c r="AV40" s="335">
        <v>363.87933104451901</v>
      </c>
      <c r="AW40" s="335" t="s">
        <v>368</v>
      </c>
      <c r="AX40" s="335" t="s">
        <v>368</v>
      </c>
      <c r="AY40" s="335">
        <v>617.278051037458</v>
      </c>
      <c r="AZ40" s="335">
        <v>450.10795483840002</v>
      </c>
      <c r="BA40" s="335">
        <v>359.04751378349403</v>
      </c>
      <c r="BB40" s="335" t="s">
        <v>368</v>
      </c>
      <c r="BC40" s="335" t="s">
        <v>368</v>
      </c>
      <c r="BD40" s="335" t="s">
        <v>369</v>
      </c>
      <c r="BE40" s="335" t="s">
        <v>413</v>
      </c>
      <c r="BF40" s="335" t="s">
        <v>371</v>
      </c>
      <c r="BG40" s="335" t="s">
        <v>372</v>
      </c>
      <c r="BH40" s="335" t="s">
        <v>373</v>
      </c>
      <c r="BI40" s="335">
        <v>175</v>
      </c>
      <c r="BJ40" s="335">
        <v>45</v>
      </c>
      <c r="BK40" s="335" t="s">
        <v>374</v>
      </c>
      <c r="BL40" s="335" t="b">
        <v>0</v>
      </c>
      <c r="BM40" s="335" t="s">
        <v>375</v>
      </c>
      <c r="BN40" s="335" t="s">
        <v>376</v>
      </c>
      <c r="BO40" s="335">
        <v>0.87876114180294196</v>
      </c>
      <c r="BP40" s="335">
        <v>1</v>
      </c>
      <c r="BQ40" s="335">
        <v>234</v>
      </c>
      <c r="BR40" s="335" t="s">
        <v>377</v>
      </c>
      <c r="BS40" s="335" t="s">
        <v>378</v>
      </c>
      <c r="BT40" s="335">
        <v>2</v>
      </c>
      <c r="BU40" s="335">
        <v>20</v>
      </c>
    </row>
    <row r="41" spans="1:73" s="335" customFormat="1">
      <c r="A41" s="335">
        <v>39</v>
      </c>
      <c r="B41" s="336">
        <v>43251.065520833334</v>
      </c>
      <c r="C41" s="335">
        <v>10443.515625</v>
      </c>
      <c r="D41" s="335">
        <v>615.77202130749902</v>
      </c>
      <c r="E41" s="337">
        <v>1.0325214723993399E-5</v>
      </c>
      <c r="F41" s="335">
        <v>569.46412123716698</v>
      </c>
      <c r="G41" s="335">
        <v>100.190696600634</v>
      </c>
      <c r="H41" s="335">
        <v>35.119999999999997</v>
      </c>
      <c r="I41" s="335">
        <v>175</v>
      </c>
      <c r="J41" s="335">
        <v>6.1459999999999999</v>
      </c>
      <c r="K41" s="335" t="s">
        <v>367</v>
      </c>
      <c r="L41" s="335" t="s">
        <v>368</v>
      </c>
      <c r="M41" s="335" t="s">
        <v>368</v>
      </c>
      <c r="N41" s="335" t="s">
        <v>368</v>
      </c>
      <c r="O41" s="335" t="s">
        <v>368</v>
      </c>
      <c r="P41" s="335">
        <v>660.60416635566401</v>
      </c>
      <c r="Q41" s="335">
        <v>615.77202130749902</v>
      </c>
      <c r="R41" s="335">
        <v>244.23850520542999</v>
      </c>
      <c r="S41" s="335">
        <v>0.43443231836031698</v>
      </c>
      <c r="T41" s="335">
        <v>0.40494940907473698</v>
      </c>
      <c r="U41" s="335">
        <v>0.24858339824728301</v>
      </c>
      <c r="V41" s="335">
        <v>0.34756979155911999</v>
      </c>
      <c r="W41" s="335">
        <v>0.24858339824728301</v>
      </c>
      <c r="X41" s="335">
        <v>0.52135468733867996</v>
      </c>
      <c r="Y41" s="335">
        <v>582.39105427099003</v>
      </c>
      <c r="Z41" s="335">
        <v>51.957242548992802</v>
      </c>
      <c r="AA41" s="335">
        <v>3049.5302150528</v>
      </c>
      <c r="AB41" s="335">
        <v>0.69885738987479995</v>
      </c>
      <c r="AC41" s="335">
        <v>93.353311904059495</v>
      </c>
      <c r="AD41" s="335">
        <v>93.486462572782202</v>
      </c>
      <c r="AE41" s="335">
        <v>96.674485858431595</v>
      </c>
      <c r="AF41" s="335">
        <v>99.211745079295397</v>
      </c>
      <c r="AG41" s="335">
        <v>94.778597094030104</v>
      </c>
      <c r="AH41" s="335">
        <v>93.885590674535905</v>
      </c>
      <c r="AI41" s="335">
        <v>97.014370274120594</v>
      </c>
      <c r="AJ41" s="335">
        <v>91.642230933868902</v>
      </c>
      <c r="AK41" s="335">
        <v>80.133012745411406</v>
      </c>
      <c r="AL41" s="335">
        <v>54.272196196482597</v>
      </c>
      <c r="AM41" s="335">
        <v>92.2730885944177</v>
      </c>
      <c r="AN41" s="335">
        <v>97.019203578782793</v>
      </c>
      <c r="AO41" s="335">
        <v>87.778971661034902</v>
      </c>
      <c r="AP41" s="335">
        <v>94.471546155343006</v>
      </c>
      <c r="AQ41" s="335">
        <v>99.256136259281803</v>
      </c>
      <c r="AR41" s="335">
        <v>87.997565185742602</v>
      </c>
      <c r="AS41" s="335">
        <v>2.0909164467036399</v>
      </c>
      <c r="AT41" s="335">
        <v>616.38521490026994</v>
      </c>
      <c r="AU41" s="335">
        <v>451.48876844176999</v>
      </c>
      <c r="AV41" s="335">
        <v>361.32146735638298</v>
      </c>
      <c r="AW41" s="335" t="s">
        <v>368</v>
      </c>
      <c r="AX41" s="335" t="s">
        <v>368</v>
      </c>
      <c r="AY41" s="335">
        <v>616.073501062432</v>
      </c>
      <c r="AZ41" s="335">
        <v>451.29447992751699</v>
      </c>
      <c r="BA41" s="335">
        <v>361.41084672358699</v>
      </c>
      <c r="BB41" s="335" t="s">
        <v>368</v>
      </c>
      <c r="BC41" s="335" t="s">
        <v>368</v>
      </c>
      <c r="BD41" s="335" t="s">
        <v>369</v>
      </c>
      <c r="BE41" s="335" t="s">
        <v>414</v>
      </c>
      <c r="BF41" s="335" t="s">
        <v>371</v>
      </c>
      <c r="BG41" s="335" t="s">
        <v>372</v>
      </c>
      <c r="BH41" s="335" t="s">
        <v>373</v>
      </c>
      <c r="BI41" s="335">
        <v>175</v>
      </c>
      <c r="BJ41" s="335">
        <v>45</v>
      </c>
      <c r="BK41" s="335" t="s">
        <v>374</v>
      </c>
      <c r="BL41" s="335" t="b">
        <v>0</v>
      </c>
      <c r="BM41" s="335" t="s">
        <v>375</v>
      </c>
      <c r="BN41" s="335" t="s">
        <v>376</v>
      </c>
      <c r="BO41" s="335">
        <v>0.87876114180294196</v>
      </c>
      <c r="BP41" s="335">
        <v>1</v>
      </c>
      <c r="BQ41" s="335">
        <v>234</v>
      </c>
      <c r="BR41" s="335" t="s">
        <v>377</v>
      </c>
      <c r="BS41" s="335" t="s">
        <v>378</v>
      </c>
      <c r="BT41" s="335">
        <v>2</v>
      </c>
      <c r="BU41" s="335">
        <v>20</v>
      </c>
    </row>
    <row r="42" spans="1:73" s="343" customFormat="1">
      <c r="A42" s="343">
        <v>40</v>
      </c>
      <c r="B42" s="343">
        <v>43251.070462962962</v>
      </c>
      <c r="C42" s="343">
        <v>10871.296875</v>
      </c>
      <c r="D42" s="343">
        <v>578.60239810055305</v>
      </c>
      <c r="E42" s="343">
        <v>9.6236793674774903E-6</v>
      </c>
      <c r="F42" s="343">
        <v>530.76947497116896</v>
      </c>
      <c r="G42" s="343">
        <v>95.035370068579297</v>
      </c>
      <c r="H42" s="343">
        <v>34.79</v>
      </c>
      <c r="I42" s="343">
        <v>175.001</v>
      </c>
      <c r="J42" s="343">
        <v>6.0882847900000003</v>
      </c>
      <c r="K42" s="343" t="s">
        <v>367</v>
      </c>
      <c r="L42" s="343" t="s">
        <v>368</v>
      </c>
      <c r="M42" s="343" t="s">
        <v>368</v>
      </c>
      <c r="N42" s="343" t="s">
        <v>368</v>
      </c>
      <c r="O42" s="343" t="s">
        <v>368</v>
      </c>
      <c r="P42" s="343">
        <v>618.86283737697602</v>
      </c>
      <c r="Q42" s="343">
        <v>578.60239810055305</v>
      </c>
      <c r="R42" s="343">
        <v>231.13369676214299</v>
      </c>
      <c r="S42" s="343">
        <v>0.43319564603534999</v>
      </c>
      <c r="T42" s="343">
        <v>0.40501388111319298</v>
      </c>
      <c r="U42" s="343">
        <v>0.24776068924856601</v>
      </c>
      <c r="V42" s="343">
        <v>0.34746373581390799</v>
      </c>
      <c r="W42" s="343">
        <v>0.24776068924856601</v>
      </c>
      <c r="X42" s="343">
        <v>0.52119560372086104</v>
      </c>
      <c r="Y42" s="343">
        <v>582.22544728363596</v>
      </c>
      <c r="Z42" s="343">
        <v>51.605486754130503</v>
      </c>
      <c r="AA42" s="343">
        <v>3071.4978847890102</v>
      </c>
      <c r="AB42" s="343">
        <v>0.90605906270536396</v>
      </c>
      <c r="AC42" s="343">
        <v>92.653385867736105</v>
      </c>
      <c r="AD42" s="343">
        <v>92.694392135287998</v>
      </c>
      <c r="AE42" s="343">
        <v>96.601466474662004</v>
      </c>
      <c r="AF42" s="343">
        <v>99.003967640892995</v>
      </c>
      <c r="AG42" s="343">
        <v>93.6772189906726</v>
      </c>
      <c r="AH42" s="343">
        <v>93.063830651636806</v>
      </c>
      <c r="AI42" s="343">
        <v>96.857745923215305</v>
      </c>
      <c r="AJ42" s="343">
        <v>90.872661087376997</v>
      </c>
      <c r="AK42" s="343">
        <v>78.455804038143995</v>
      </c>
      <c r="AL42" s="343">
        <v>50.703629445216599</v>
      </c>
      <c r="AM42" s="343">
        <v>92.027134012973605</v>
      </c>
      <c r="AN42" s="343">
        <v>95.881904254197295</v>
      </c>
      <c r="AO42" s="343">
        <v>86.403782035556503</v>
      </c>
      <c r="AP42" s="343">
        <v>93.895673244502703</v>
      </c>
      <c r="AQ42" s="343">
        <v>99.660506443859205</v>
      </c>
      <c r="AR42" s="343">
        <v>86.959209973011696</v>
      </c>
      <c r="AS42" s="343">
        <v>1.9509405263842701</v>
      </c>
      <c r="AT42" s="343">
        <v>615.12871624823197</v>
      </c>
      <c r="AU42" s="343">
        <v>453.62791258982497</v>
      </c>
      <c r="AV42" s="343">
        <v>362.91833137151099</v>
      </c>
      <c r="AW42" s="343" t="s">
        <v>368</v>
      </c>
      <c r="AX42" s="343" t="s">
        <v>368</v>
      </c>
      <c r="AY42" s="343">
        <v>616.073501062432</v>
      </c>
      <c r="AZ42" s="343">
        <v>453.66753010575098</v>
      </c>
      <c r="BA42" s="343">
        <v>363.77417966367898</v>
      </c>
      <c r="BB42" s="343" t="s">
        <v>368</v>
      </c>
      <c r="BC42" s="343" t="s">
        <v>368</v>
      </c>
      <c r="BD42" s="343" t="s">
        <v>369</v>
      </c>
      <c r="BE42" s="343" t="s">
        <v>415</v>
      </c>
      <c r="BF42" s="343" t="s">
        <v>371</v>
      </c>
      <c r="BG42" s="343" t="s">
        <v>372</v>
      </c>
      <c r="BH42" s="343" t="s">
        <v>373</v>
      </c>
      <c r="BI42" s="343">
        <v>175</v>
      </c>
      <c r="BJ42" s="343">
        <v>45</v>
      </c>
      <c r="BK42" s="343" t="s">
        <v>374</v>
      </c>
      <c r="BL42" s="343" t="b">
        <v>0</v>
      </c>
      <c r="BM42" s="343" t="s">
        <v>375</v>
      </c>
      <c r="BN42" s="343" t="s">
        <v>376</v>
      </c>
      <c r="BO42" s="343">
        <v>0.87876114180294196</v>
      </c>
      <c r="BP42" s="343">
        <v>1</v>
      </c>
      <c r="BQ42" s="343">
        <v>234</v>
      </c>
      <c r="BR42" s="343" t="s">
        <v>377</v>
      </c>
      <c r="BS42" s="343" t="s">
        <v>378</v>
      </c>
      <c r="BT42" s="343">
        <v>2</v>
      </c>
      <c r="BU42" s="343">
        <v>20</v>
      </c>
    </row>
    <row r="43" spans="1:73" s="343" customFormat="1">
      <c r="A43" s="343">
        <v>41</v>
      </c>
      <c r="B43" s="343">
        <v>43251.076678240737</v>
      </c>
      <c r="C43" s="343">
        <v>11408.4375</v>
      </c>
      <c r="D43" s="343">
        <v>539.23899215643701</v>
      </c>
      <c r="E43" s="343">
        <v>8.8901707571794597E-6</v>
      </c>
      <c r="F43" s="343">
        <v>490.320283182048</v>
      </c>
      <c r="G43" s="343">
        <v>89.351715982421794</v>
      </c>
      <c r="H43" s="343">
        <v>34.485999999999997</v>
      </c>
      <c r="I43" s="343">
        <v>174.999</v>
      </c>
      <c r="J43" s="343">
        <v>6.0350155140000004</v>
      </c>
      <c r="K43" s="343" t="s">
        <v>367</v>
      </c>
      <c r="L43" s="343" t="s">
        <v>368</v>
      </c>
      <c r="M43" s="343" t="s">
        <v>368</v>
      </c>
      <c r="N43" s="343" t="s">
        <v>368</v>
      </c>
      <c r="O43" s="343" t="s">
        <v>368</v>
      </c>
      <c r="P43" s="343">
        <v>573.89062707378503</v>
      </c>
      <c r="Q43" s="343">
        <v>539.23899215643701</v>
      </c>
      <c r="R43" s="343">
        <v>218.05681382274301</v>
      </c>
      <c r="S43" s="343">
        <v>0.43111213638018703</v>
      </c>
      <c r="T43" s="343">
        <v>0.40508149630081303</v>
      </c>
      <c r="U43" s="343">
        <v>0.24639366145240299</v>
      </c>
      <c r="V43" s="343">
        <v>0.34727454171745598</v>
      </c>
      <c r="W43" s="343">
        <v>0.24639366145240299</v>
      </c>
      <c r="X43" s="343">
        <v>0.52091181257618402</v>
      </c>
      <c r="Y43" s="343">
        <v>581.94846611996195</v>
      </c>
      <c r="Z43" s="343">
        <v>51.0004958865538</v>
      </c>
      <c r="AA43" s="343">
        <v>3108.6938084506201</v>
      </c>
      <c r="AB43" s="343">
        <v>1.24877994934308</v>
      </c>
      <c r="AC43" s="343">
        <v>91.996600729639098</v>
      </c>
      <c r="AD43" s="343">
        <v>91.999505122977496</v>
      </c>
      <c r="AE43" s="343">
        <v>96.505481753599895</v>
      </c>
      <c r="AF43" s="343">
        <v>98.618382434656993</v>
      </c>
      <c r="AG43" s="343">
        <v>92.557677964109601</v>
      </c>
      <c r="AH43" s="343">
        <v>92.271597217845795</v>
      </c>
      <c r="AI43" s="343">
        <v>96.682974459604594</v>
      </c>
      <c r="AJ43" s="343">
        <v>90.249218667245799</v>
      </c>
      <c r="AK43" s="343">
        <v>77.0879682170725</v>
      </c>
      <c r="AL43" s="343">
        <v>47.641937753382201</v>
      </c>
      <c r="AM43" s="343">
        <v>91.684766883981595</v>
      </c>
      <c r="AN43" s="343">
        <v>94.525480629351506</v>
      </c>
      <c r="AO43" s="343">
        <v>84.9220143924788</v>
      </c>
      <c r="AP43" s="343">
        <v>93.379422777214899</v>
      </c>
      <c r="AQ43" s="343">
        <v>99.971847932847993</v>
      </c>
      <c r="AR43" s="343">
        <v>86.058392195546205</v>
      </c>
      <c r="AS43" s="343">
        <v>1.80516738326079</v>
      </c>
      <c r="AT43" s="343">
        <v>612.32181927656404</v>
      </c>
      <c r="AU43" s="343">
        <v>454.20813107101498</v>
      </c>
      <c r="AV43" s="343">
        <v>360.55220431947299</v>
      </c>
      <c r="AW43" s="343" t="s">
        <v>368</v>
      </c>
      <c r="AX43" s="343" t="s">
        <v>368</v>
      </c>
      <c r="AY43" s="343">
        <v>612.45985113735196</v>
      </c>
      <c r="AZ43" s="343">
        <v>454.85405519486801</v>
      </c>
      <c r="BA43" s="343">
        <v>361.41084672358699</v>
      </c>
      <c r="BB43" s="343" t="s">
        <v>368</v>
      </c>
      <c r="BC43" s="343" t="s">
        <v>368</v>
      </c>
      <c r="BD43" s="343" t="s">
        <v>369</v>
      </c>
      <c r="BE43" s="343" t="s">
        <v>416</v>
      </c>
      <c r="BF43" s="343" t="s">
        <v>371</v>
      </c>
      <c r="BG43" s="343" t="s">
        <v>372</v>
      </c>
      <c r="BH43" s="343" t="s">
        <v>373</v>
      </c>
      <c r="BI43" s="343">
        <v>175</v>
      </c>
      <c r="BJ43" s="343">
        <v>45</v>
      </c>
      <c r="BK43" s="343" t="s">
        <v>374</v>
      </c>
      <c r="BL43" s="343" t="b">
        <v>0</v>
      </c>
      <c r="BM43" s="343" t="s">
        <v>375</v>
      </c>
      <c r="BN43" s="343" t="s">
        <v>376</v>
      </c>
      <c r="BO43" s="343">
        <v>0.87876114180294196</v>
      </c>
      <c r="BP43" s="343">
        <v>1</v>
      </c>
      <c r="BQ43" s="343">
        <v>234</v>
      </c>
      <c r="BR43" s="343" t="s">
        <v>377</v>
      </c>
      <c r="BS43" s="343" t="s">
        <v>378</v>
      </c>
      <c r="BT43" s="343">
        <v>2</v>
      </c>
      <c r="BU43" s="343">
        <v>20</v>
      </c>
    </row>
    <row r="44" spans="1:73" s="344" customFormat="1">
      <c r="A44" s="344">
        <v>42</v>
      </c>
      <c r="B44" s="344">
        <v>43251.078703703701</v>
      </c>
      <c r="C44" s="344">
        <v>11582.921875</v>
      </c>
      <c r="D44" s="344">
        <v>518.12547056404401</v>
      </c>
      <c r="E44" s="344">
        <v>8.5044910778092902E-6</v>
      </c>
      <c r="F44" s="344">
        <v>469.04618137770899</v>
      </c>
      <c r="G44" s="344">
        <v>86.2227553920345</v>
      </c>
      <c r="H44" s="344">
        <v>34.338000000000001</v>
      </c>
      <c r="I44" s="344">
        <v>175</v>
      </c>
      <c r="J44" s="344">
        <v>6.00915</v>
      </c>
      <c r="K44" s="344" t="s">
        <v>367</v>
      </c>
      <c r="L44" s="344" t="s">
        <v>368</v>
      </c>
      <c r="M44" s="344" t="s">
        <v>368</v>
      </c>
      <c r="N44" s="344" t="s">
        <v>368</v>
      </c>
      <c r="O44" s="344" t="s">
        <v>368</v>
      </c>
      <c r="P44" s="344">
        <v>549.52772497287697</v>
      </c>
      <c r="Q44" s="344">
        <v>518.12547056404401</v>
      </c>
      <c r="R44" s="344">
        <v>210.56069342024099</v>
      </c>
      <c r="S44" s="344">
        <v>0.42991844300894899</v>
      </c>
      <c r="T44" s="344">
        <v>0.40535115057055099</v>
      </c>
      <c r="U44" s="344">
        <v>0.245514167994308</v>
      </c>
      <c r="V44" s="344">
        <v>0.34722673135864801</v>
      </c>
      <c r="W44" s="344">
        <v>0.245514167994308</v>
      </c>
      <c r="X44" s="344">
        <v>0.52084009703797196</v>
      </c>
      <c r="Y44" s="344">
        <v>581.74627511653898</v>
      </c>
      <c r="Z44" s="344">
        <v>50.723501752259601</v>
      </c>
      <c r="AA44" s="344">
        <v>3132.1542381862801</v>
      </c>
      <c r="AB44" s="344">
        <v>1.54434739273138</v>
      </c>
      <c r="AC44" s="344">
        <v>91.574826980590103</v>
      </c>
      <c r="AD44" s="344">
        <v>91.522583133805199</v>
      </c>
      <c r="AE44" s="344">
        <v>96.397827194114996</v>
      </c>
      <c r="AF44" s="344">
        <v>98.362877537627199</v>
      </c>
      <c r="AG44" s="344">
        <v>91.810363730940097</v>
      </c>
      <c r="AH44" s="344">
        <v>91.738522349587001</v>
      </c>
      <c r="AI44" s="344">
        <v>96.556021297522094</v>
      </c>
      <c r="AJ44" s="344">
        <v>89.900807741474907</v>
      </c>
      <c r="AK44" s="344">
        <v>76.309612859649206</v>
      </c>
      <c r="AL44" s="344">
        <v>45.864956885290297</v>
      </c>
      <c r="AM44" s="344">
        <v>91.414387644222899</v>
      </c>
      <c r="AN44" s="344">
        <v>93.615806697623498</v>
      </c>
      <c r="AO44" s="344">
        <v>84.019047954187002</v>
      </c>
      <c r="AP44" s="344">
        <v>92.999128613327301</v>
      </c>
      <c r="AQ44" s="344">
        <v>99.821739666200799</v>
      </c>
      <c r="AR44" s="344">
        <v>85.464924042888597</v>
      </c>
      <c r="AS44" s="344">
        <v>1.72856666945596</v>
      </c>
      <c r="AT44" s="344">
        <v>612.22163359206604</v>
      </c>
      <c r="AU44" s="344">
        <v>455.70915872553599</v>
      </c>
      <c r="AV44" s="344">
        <v>385.03041805986499</v>
      </c>
      <c r="AW44" s="344" t="s">
        <v>368</v>
      </c>
      <c r="AX44" s="344" t="s">
        <v>368</v>
      </c>
      <c r="AY44" s="344">
        <v>612.45985113735196</v>
      </c>
      <c r="AZ44" s="344">
        <v>454.85405519486801</v>
      </c>
      <c r="BA44" s="344">
        <v>379.135843774281</v>
      </c>
      <c r="BB44" s="344" t="s">
        <v>368</v>
      </c>
      <c r="BC44" s="344" t="s">
        <v>368</v>
      </c>
      <c r="BD44" s="344" t="s">
        <v>369</v>
      </c>
      <c r="BE44" s="344" t="s">
        <v>417</v>
      </c>
      <c r="BF44" s="344" t="s">
        <v>371</v>
      </c>
      <c r="BG44" s="344" t="s">
        <v>372</v>
      </c>
      <c r="BH44" s="344" t="s">
        <v>373</v>
      </c>
      <c r="BI44" s="344">
        <v>175</v>
      </c>
      <c r="BJ44" s="344">
        <v>45</v>
      </c>
      <c r="BK44" s="344" t="s">
        <v>374</v>
      </c>
      <c r="BL44" s="344" t="b">
        <v>0</v>
      </c>
      <c r="BM44" s="344" t="s">
        <v>375</v>
      </c>
      <c r="BN44" s="344" t="s">
        <v>376</v>
      </c>
      <c r="BO44" s="344">
        <v>0.87876114180294196</v>
      </c>
      <c r="BP44" s="344">
        <v>1</v>
      </c>
      <c r="BQ44" s="344">
        <v>234</v>
      </c>
      <c r="BR44" s="344" t="s">
        <v>377</v>
      </c>
      <c r="BS44" s="344" t="s">
        <v>378</v>
      </c>
      <c r="BT44" s="344">
        <v>2</v>
      </c>
      <c r="BU44" s="344">
        <v>20</v>
      </c>
    </row>
    <row r="45" spans="1:73" s="343" customFormat="1"/>
    <row r="46" spans="1:73" s="343" customFormat="1"/>
    <row r="47" spans="1:73" s="343" customFormat="1">
      <c r="AC47" s="343">
        <f t="shared" ref="AC47:AC55" si="0">AC15-AC$16</f>
        <v>-0.34650530838220561</v>
      </c>
      <c r="AD47" s="343">
        <f>AC3-AC$8</f>
        <v>1.3182060978037953</v>
      </c>
      <c r="AL47" s="343">
        <f t="shared" ref="AL47:AL55" si="1">AL15-AL$16</f>
        <v>1.6705906701712081</v>
      </c>
      <c r="AM47" s="343">
        <f>AL3-AL$8</f>
        <v>5.7720568279234925</v>
      </c>
    </row>
    <row r="48" spans="1:73">
      <c r="AC48" s="343">
        <f t="shared" si="0"/>
        <v>0</v>
      </c>
      <c r="AD48" s="343">
        <f>AC4-AC$8</f>
        <v>0.97805443727379782</v>
      </c>
      <c r="AL48" s="343">
        <f t="shared" si="1"/>
        <v>0</v>
      </c>
      <c r="AM48" s="343">
        <f>AL4-AL$8</f>
        <v>4.2689873374322929</v>
      </c>
    </row>
    <row r="49" spans="29:39">
      <c r="AC49" s="343">
        <f t="shared" si="0"/>
        <v>-0.26326370573720226</v>
      </c>
      <c r="AD49" s="343">
        <f t="shared" ref="AD49:AD56" si="2">AC5-AC$8</f>
        <v>0.72223259239939352</v>
      </c>
      <c r="AL49" s="343">
        <f t="shared" si="1"/>
        <v>-3.0506712095127924</v>
      </c>
      <c r="AM49" s="343">
        <f t="shared" ref="AM49:AM56" si="3">AL5-AL$8</f>
        <v>3.1660438722648934</v>
      </c>
    </row>
    <row r="50" spans="29:39">
      <c r="AC50" s="343">
        <f t="shared" si="0"/>
        <v>-0.71042989670370105</v>
      </c>
      <c r="AD50" s="343">
        <f t="shared" si="2"/>
        <v>0.45437394047999646</v>
      </c>
      <c r="AL50" s="343">
        <f t="shared" si="1"/>
        <v>-6.599472631862092</v>
      </c>
      <c r="AM50" s="343">
        <f t="shared" si="3"/>
        <v>1.9093210763513895</v>
      </c>
    </row>
    <row r="51" spans="29:39">
      <c r="AC51" s="343">
        <f t="shared" si="0"/>
        <v>-0.73479537221020053</v>
      </c>
      <c r="AD51" s="343">
        <f t="shared" si="2"/>
        <v>0.20155560393050109</v>
      </c>
      <c r="AL51" s="343">
        <f t="shared" si="1"/>
        <v>-6.8109107773838957</v>
      </c>
      <c r="AM51" s="343">
        <f t="shared" si="3"/>
        <v>0.85483134260059046</v>
      </c>
    </row>
    <row r="52" spans="29:39">
      <c r="AC52" s="343">
        <f t="shared" si="0"/>
        <v>-1.3230458461159031</v>
      </c>
      <c r="AD52" s="343">
        <f t="shared" si="2"/>
        <v>0</v>
      </c>
      <c r="AL52" s="343">
        <f t="shared" si="1"/>
        <v>-10.306950966574092</v>
      </c>
      <c r="AM52" s="343">
        <f t="shared" si="3"/>
        <v>0</v>
      </c>
    </row>
    <row r="53" spans="29:39">
      <c r="AC53" s="343">
        <f t="shared" si="0"/>
        <v>-1.8495465912817082</v>
      </c>
      <c r="AD53" s="343">
        <f t="shared" si="2"/>
        <v>-0.25841028042930247</v>
      </c>
      <c r="AL53" s="343">
        <f t="shared" si="1"/>
        <v>-13.056507795198897</v>
      </c>
      <c r="AM53" s="343">
        <f t="shared" si="3"/>
        <v>-1.2179630529186056</v>
      </c>
    </row>
    <row r="54" spans="29:39">
      <c r="AC54" s="343">
        <f t="shared" si="0"/>
        <v>-2.6276905200268033</v>
      </c>
      <c r="AD54" s="343">
        <f t="shared" si="2"/>
        <v>-0.43215923036851223</v>
      </c>
      <c r="AL54" s="343">
        <f t="shared" si="1"/>
        <v>-16.636264982586795</v>
      </c>
      <c r="AM54" s="343">
        <f t="shared" si="3"/>
        <v>-2.0789149488966032</v>
      </c>
    </row>
    <row r="55" spans="29:39">
      <c r="AC55" s="343">
        <f t="shared" si="0"/>
        <v>-2.9822386115535977</v>
      </c>
      <c r="AD55" s="343">
        <f t="shared" si="2"/>
        <v>-0.62153484982481189</v>
      </c>
      <c r="AL55" s="343">
        <f t="shared" si="1"/>
        <v>-18.263079920334896</v>
      </c>
      <c r="AM55" s="343">
        <f t="shared" si="3"/>
        <v>-3.0751597068129044</v>
      </c>
    </row>
    <row r="56" spans="29:39">
      <c r="AD56" s="343">
        <f t="shared" si="2"/>
        <v>-0.75901084579710698</v>
      </c>
      <c r="AM56" s="343">
        <f t="shared" si="3"/>
        <v>-3.8520483774839036</v>
      </c>
    </row>
    <row r="57" spans="29:39">
      <c r="AD57" s="343">
        <f>AC13-AC$8</f>
        <v>-1.0066284465235071</v>
      </c>
      <c r="AM57" s="343">
        <f>AL13-AL$8</f>
        <v>-5.2794364230803055</v>
      </c>
    </row>
    <row r="58" spans="29:39">
      <c r="AC58" s="329">
        <f t="shared" ref="AC58:AC66" si="4">AC36-AC$37</f>
        <v>7.9299023042977979E-3</v>
      </c>
      <c r="AD58" s="343">
        <f>AC14-AC$8</f>
        <v>-1.2405670006718026</v>
      </c>
      <c r="AL58" s="329">
        <f t="shared" ref="AL58:AL66" si="5">AL36-AL$37</f>
        <v>2.3711530205106897</v>
      </c>
      <c r="AM58" s="343">
        <f>AL14-AL$8</f>
        <v>-6.5728849887697081</v>
      </c>
    </row>
    <row r="59" spans="29:39">
      <c r="AC59" s="329">
        <f t="shared" si="4"/>
        <v>0</v>
      </c>
      <c r="AL59" s="329">
        <f t="shared" si="5"/>
        <v>0</v>
      </c>
    </row>
    <row r="60" spans="29:39">
      <c r="AC60" s="329">
        <f t="shared" si="4"/>
        <v>-0.29079835804570564</v>
      </c>
      <c r="AL60" s="329">
        <f t="shared" si="5"/>
        <v>-3.3986982095044098</v>
      </c>
    </row>
    <row r="61" spans="29:39">
      <c r="AC61" s="329">
        <f t="shared" si="4"/>
        <v>-0.72777342785020949</v>
      </c>
      <c r="AD61" s="329">
        <f>AC24-AC$29</f>
        <v>1.4164844202073965</v>
      </c>
      <c r="AL61" s="329">
        <f t="shared" si="5"/>
        <v>-6.8939102023799066</v>
      </c>
      <c r="AM61" s="329">
        <f>AL24-AL$29</f>
        <v>6.1892631394096895</v>
      </c>
    </row>
    <row r="62" spans="29:39">
      <c r="AC62" s="329">
        <f t="shared" si="4"/>
        <v>-0.78067051293861311</v>
      </c>
      <c r="AD62" s="329">
        <f t="shared" ref="AD62:AD71" si="6">AC25-AC$29</f>
        <v>1.08210684866809</v>
      </c>
      <c r="AL62" s="329">
        <f t="shared" si="5"/>
        <v>-7.1789963336773042</v>
      </c>
      <c r="AM62" s="329">
        <f t="shared" ref="AM62:AM71" si="7">AL25-AL$29</f>
        <v>4.7466151798628005</v>
      </c>
    </row>
    <row r="63" spans="29:39">
      <c r="AC63" s="329">
        <f t="shared" si="4"/>
        <v>-1.1960828945809112</v>
      </c>
      <c r="AD63" s="329">
        <f t="shared" si="6"/>
        <v>0.74691784176789611</v>
      </c>
      <c r="AL63" s="329">
        <f t="shared" si="5"/>
        <v>-9.9380584124299105</v>
      </c>
      <c r="AM63" s="329">
        <f t="shared" si="7"/>
        <v>3.2678271350823991</v>
      </c>
    </row>
    <row r="64" spans="29:39">
      <c r="AC64" s="329">
        <f t="shared" si="4"/>
        <v>-1.8960089309043013</v>
      </c>
      <c r="AD64" s="329">
        <f t="shared" si="6"/>
        <v>0.47294605041518878</v>
      </c>
      <c r="AL64" s="329">
        <f t="shared" si="5"/>
        <v>-13.506625163695908</v>
      </c>
      <c r="AM64" s="329">
        <f t="shared" si="7"/>
        <v>2.0596187792784946</v>
      </c>
    </row>
    <row r="65" spans="29:39">
      <c r="AC65" s="329">
        <f t="shared" si="4"/>
        <v>-2.5527940690013082</v>
      </c>
      <c r="AD65" s="329">
        <f t="shared" si="6"/>
        <v>0.215968319554392</v>
      </c>
      <c r="AL65" s="329">
        <f t="shared" si="5"/>
        <v>-16.568316855530306</v>
      </c>
      <c r="AM65" s="329">
        <f t="shared" si="7"/>
        <v>0.88364772110489298</v>
      </c>
    </row>
    <row r="66" spans="29:39">
      <c r="AC66" s="329">
        <f t="shared" si="4"/>
        <v>-2.9745678180503035</v>
      </c>
      <c r="AD66" s="329">
        <f t="shared" si="6"/>
        <v>0</v>
      </c>
      <c r="AL66" s="329">
        <f t="shared" si="5"/>
        <v>-18.34529772362221</v>
      </c>
      <c r="AM66" s="329">
        <f t="shared" si="7"/>
        <v>0</v>
      </c>
    </row>
    <row r="67" spans="29:39">
      <c r="AD67" s="329">
        <f t="shared" si="6"/>
        <v>-0.24922834864300114</v>
      </c>
      <c r="AM67" s="329">
        <f t="shared" si="7"/>
        <v>-1.2498328002591066</v>
      </c>
    </row>
    <row r="68" spans="29:39">
      <c r="AC68" s="329">
        <f t="shared" ref="AC68:AC76" si="8">AVERAGE(AC47,AC58)</f>
        <v>-0.16928770303895391</v>
      </c>
      <c r="AD68" s="329">
        <f t="shared" si="6"/>
        <v>-0.45587089044630602</v>
      </c>
      <c r="AL68" s="329">
        <f t="shared" ref="AL68:AL76" si="9">AVERAGE(AL47,AL58)</f>
        <v>2.0208718453409489</v>
      </c>
      <c r="AM68" s="329">
        <f t="shared" si="7"/>
        <v>-2.2843255869978023</v>
      </c>
    </row>
    <row r="69" spans="29:39">
      <c r="AC69" s="329">
        <f t="shared" si="8"/>
        <v>0</v>
      </c>
      <c r="AD69" s="329">
        <f t="shared" si="6"/>
        <v>-0.63925476156821048</v>
      </c>
      <c r="AL69" s="329">
        <f t="shared" si="9"/>
        <v>0</v>
      </c>
      <c r="AM69" s="329">
        <f t="shared" si="7"/>
        <v>-3.2472626150409027</v>
      </c>
    </row>
    <row r="70" spans="29:39">
      <c r="AC70" s="329">
        <f t="shared" si="8"/>
        <v>-0.27703103189145395</v>
      </c>
      <c r="AD70" s="329">
        <f t="shared" si="6"/>
        <v>-0.80829400041321264</v>
      </c>
      <c r="AL70" s="329">
        <f t="shared" si="9"/>
        <v>-3.2246847095086011</v>
      </c>
      <c r="AM70" s="329">
        <f t="shared" si="7"/>
        <v>-4.1648209616822029</v>
      </c>
    </row>
    <row r="71" spans="29:39">
      <c r="AC71" s="329">
        <f t="shared" si="8"/>
        <v>-0.71910166227695527</v>
      </c>
      <c r="AD71" s="329">
        <f t="shared" si="6"/>
        <v>-1.1063362919079083</v>
      </c>
      <c r="AL71" s="329">
        <f t="shared" si="9"/>
        <v>-6.7466914171209993</v>
      </c>
      <c r="AM71" s="329">
        <f t="shared" si="7"/>
        <v>-5.837692176747602</v>
      </c>
    </row>
    <row r="72" spans="29:39">
      <c r="AC72" s="329">
        <f t="shared" si="8"/>
        <v>-0.75773294257440682</v>
      </c>
      <c r="AD72" s="329">
        <f>AC35-AC$29</f>
        <v>-1.3942154374239095</v>
      </c>
      <c r="AL72" s="329">
        <f t="shared" si="9"/>
        <v>-6.9949535555305999</v>
      </c>
      <c r="AM72" s="329">
        <f>AL35-AL$29</f>
        <v>-7.5910547212501029</v>
      </c>
    </row>
    <row r="73" spans="29:39">
      <c r="AC73" s="329">
        <f t="shared" si="8"/>
        <v>-1.2595643703484072</v>
      </c>
      <c r="AL73" s="329">
        <f t="shared" si="9"/>
        <v>-10.122504689502001</v>
      </c>
    </row>
    <row r="74" spans="29:39">
      <c r="AC74" s="329">
        <f t="shared" si="8"/>
        <v>-1.8727777610930048</v>
      </c>
      <c r="AL74" s="329">
        <f t="shared" si="9"/>
        <v>-13.281566479447402</v>
      </c>
    </row>
    <row r="75" spans="29:39">
      <c r="AC75" s="329">
        <f t="shared" si="8"/>
        <v>-2.5902422945140557</v>
      </c>
      <c r="AD75" s="329">
        <f>AVERAGE(AD47,AD61)</f>
        <v>1.3673452590055959</v>
      </c>
      <c r="AL75" s="329">
        <f t="shared" si="9"/>
        <v>-16.60229091905855</v>
      </c>
      <c r="AM75" s="329">
        <f>AVERAGE(AM47,AM61)</f>
        <v>5.980659983666591</v>
      </c>
    </row>
    <row r="76" spans="29:39">
      <c r="AC76" s="329">
        <f t="shared" si="8"/>
        <v>-2.9784032148019506</v>
      </c>
      <c r="AD76" s="329">
        <f t="shared" ref="AD76:AD86" si="10">AVERAGE(AD48,AD62)</f>
        <v>1.0300806429709439</v>
      </c>
      <c r="AL76" s="329">
        <f t="shared" si="9"/>
        <v>-18.304188821978553</v>
      </c>
      <c r="AM76" s="329">
        <f t="shared" ref="AM76:AM86" si="11">AVERAGE(AM48,AM62)</f>
        <v>4.5078012586475467</v>
      </c>
    </row>
    <row r="77" spans="29:39">
      <c r="AD77" s="329">
        <f t="shared" si="10"/>
        <v>0.73457521708364482</v>
      </c>
      <c r="AM77" s="329">
        <f t="shared" si="11"/>
        <v>3.2169355036736462</v>
      </c>
    </row>
    <row r="78" spans="29:39">
      <c r="AD78" s="329">
        <f t="shared" si="10"/>
        <v>0.46365999544759262</v>
      </c>
      <c r="AM78" s="329">
        <f t="shared" si="11"/>
        <v>1.984469927814942</v>
      </c>
    </row>
    <row r="79" spans="29:39">
      <c r="AD79" s="329">
        <f t="shared" si="10"/>
        <v>0.20876196174244654</v>
      </c>
      <c r="AM79" s="329">
        <f t="shared" si="11"/>
        <v>0.86923953185274172</v>
      </c>
    </row>
    <row r="80" spans="29:39">
      <c r="AD80" s="329">
        <f t="shared" si="10"/>
        <v>0</v>
      </c>
      <c r="AM80" s="329">
        <f t="shared" si="11"/>
        <v>0</v>
      </c>
    </row>
    <row r="81" spans="30:39">
      <c r="AD81" s="329">
        <f t="shared" si="10"/>
        <v>-0.25381931453615181</v>
      </c>
      <c r="AM81" s="329">
        <f t="shared" si="11"/>
        <v>-1.2338979265888561</v>
      </c>
    </row>
    <row r="82" spans="30:39">
      <c r="AD82" s="329">
        <f t="shared" si="10"/>
        <v>-0.44401506040740912</v>
      </c>
      <c r="AM82" s="329">
        <f t="shared" si="11"/>
        <v>-2.1816202679472028</v>
      </c>
    </row>
    <row r="83" spans="30:39">
      <c r="AD83" s="329">
        <f t="shared" si="10"/>
        <v>-0.63039480569651118</v>
      </c>
      <c r="AM83" s="329">
        <f t="shared" si="11"/>
        <v>-3.1612111609269036</v>
      </c>
    </row>
    <row r="84" spans="30:39">
      <c r="AD84" s="329">
        <f t="shared" si="10"/>
        <v>-0.78365242310515981</v>
      </c>
      <c r="AM84" s="329">
        <f t="shared" si="11"/>
        <v>-4.0084346695830533</v>
      </c>
    </row>
    <row r="85" spans="30:39">
      <c r="AD85" s="329">
        <f t="shared" si="10"/>
        <v>-1.0564823692157077</v>
      </c>
      <c r="AM85" s="329">
        <f t="shared" si="11"/>
        <v>-5.5585642999139537</v>
      </c>
    </row>
    <row r="86" spans="30:39">
      <c r="AD86" s="329">
        <f t="shared" si="10"/>
        <v>-1.3173912190478561</v>
      </c>
      <c r="AM86" s="329">
        <f t="shared" si="11"/>
        <v>-7.0819698550099055</v>
      </c>
    </row>
  </sheetData>
  <sheetProtection password="A7EA" sheet="1" objects="1" scenarios="1"/>
  <phoneticPr fontId="7"/>
  <pageMargins left="0.75" right="0.75" top="1" bottom="1" header="0.51200000000000001" footer="0.51200000000000001"/>
  <pageSetup paperSize="9" orientation="portrait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N455"/>
  <sheetViews>
    <sheetView topLeftCell="C1" zoomScale="80" zoomScaleNormal="80" workbookViewId="0">
      <pane ySplit="12" topLeftCell="A13" activePane="bottomLeft" state="frozen"/>
      <selection activeCell="C4" sqref="C4"/>
      <selection pane="bottomLeft" activeCell="C16" sqref="C16:C27"/>
    </sheetView>
  </sheetViews>
  <sheetFormatPr defaultRowHeight="13.5"/>
  <cols>
    <col min="1" max="3" width="9" style="345"/>
    <col min="4" max="4" width="11.625" style="345" customWidth="1"/>
    <col min="5" max="5" width="9.375" style="345" customWidth="1"/>
    <col min="6" max="6" width="11.375" style="345" bestFit="1" customWidth="1"/>
    <col min="7" max="10" width="9.25" style="345" bestFit="1" customWidth="1"/>
    <col min="11" max="11" width="9" style="345"/>
    <col min="12" max="12" width="9.5" style="345" bestFit="1" customWidth="1"/>
    <col min="13" max="13" width="9" style="345"/>
    <col min="14" max="14" width="9.75" style="345" bestFit="1" customWidth="1"/>
    <col min="15" max="15" width="9.25" style="345" bestFit="1" customWidth="1"/>
    <col min="16" max="259" width="9" style="345"/>
    <col min="260" max="260" width="11.625" style="345" customWidth="1"/>
    <col min="261" max="261" width="9.375" style="345" customWidth="1"/>
    <col min="262" max="262" width="11.375" style="345" bestFit="1" customWidth="1"/>
    <col min="263" max="266" width="9.25" style="345" bestFit="1" customWidth="1"/>
    <col min="267" max="267" width="9" style="345"/>
    <col min="268" max="268" width="9.5" style="345" bestFit="1" customWidth="1"/>
    <col min="269" max="269" width="9" style="345"/>
    <col min="270" max="270" width="9.75" style="345" bestFit="1" customWidth="1"/>
    <col min="271" max="271" width="9.25" style="345" bestFit="1" customWidth="1"/>
    <col min="272" max="515" width="9" style="345"/>
    <col min="516" max="516" width="11.625" style="345" customWidth="1"/>
    <col min="517" max="517" width="9.375" style="345" customWidth="1"/>
    <col min="518" max="518" width="11.375" style="345" bestFit="1" customWidth="1"/>
    <col min="519" max="522" width="9.25" style="345" bestFit="1" customWidth="1"/>
    <col min="523" max="523" width="9" style="345"/>
    <col min="524" max="524" width="9.5" style="345" bestFit="1" customWidth="1"/>
    <col min="525" max="525" width="9" style="345"/>
    <col min="526" max="526" width="9.75" style="345" bestFit="1" customWidth="1"/>
    <col min="527" max="527" width="9.25" style="345" bestFit="1" customWidth="1"/>
    <col min="528" max="771" width="9" style="345"/>
    <col min="772" max="772" width="11.625" style="345" customWidth="1"/>
    <col min="773" max="773" width="9.375" style="345" customWidth="1"/>
    <col min="774" max="774" width="11.375" style="345" bestFit="1" customWidth="1"/>
    <col min="775" max="778" width="9.25" style="345" bestFit="1" customWidth="1"/>
    <col min="779" max="779" width="9" style="345"/>
    <col min="780" max="780" width="9.5" style="345" bestFit="1" customWidth="1"/>
    <col min="781" max="781" width="9" style="345"/>
    <col min="782" max="782" width="9.75" style="345" bestFit="1" customWidth="1"/>
    <col min="783" max="783" width="9.25" style="345" bestFit="1" customWidth="1"/>
    <col min="784" max="1027" width="9" style="345"/>
    <col min="1028" max="1028" width="11.625" style="345" customWidth="1"/>
    <col min="1029" max="1029" width="9.375" style="345" customWidth="1"/>
    <col min="1030" max="1030" width="11.375" style="345" bestFit="1" customWidth="1"/>
    <col min="1031" max="1034" width="9.25" style="345" bestFit="1" customWidth="1"/>
    <col min="1035" max="1035" width="9" style="345"/>
    <col min="1036" max="1036" width="9.5" style="345" bestFit="1" customWidth="1"/>
    <col min="1037" max="1037" width="9" style="345"/>
    <col min="1038" max="1038" width="9.75" style="345" bestFit="1" customWidth="1"/>
    <col min="1039" max="1039" width="9.25" style="345" bestFit="1" customWidth="1"/>
    <col min="1040" max="1283" width="9" style="345"/>
    <col min="1284" max="1284" width="11.625" style="345" customWidth="1"/>
    <col min="1285" max="1285" width="9.375" style="345" customWidth="1"/>
    <col min="1286" max="1286" width="11.375" style="345" bestFit="1" customWidth="1"/>
    <col min="1287" max="1290" width="9.25" style="345" bestFit="1" customWidth="1"/>
    <col min="1291" max="1291" width="9" style="345"/>
    <col min="1292" max="1292" width="9.5" style="345" bestFit="1" customWidth="1"/>
    <col min="1293" max="1293" width="9" style="345"/>
    <col min="1294" max="1294" width="9.75" style="345" bestFit="1" customWidth="1"/>
    <col min="1295" max="1295" width="9.25" style="345" bestFit="1" customWidth="1"/>
    <col min="1296" max="1539" width="9" style="345"/>
    <col min="1540" max="1540" width="11.625" style="345" customWidth="1"/>
    <col min="1541" max="1541" width="9.375" style="345" customWidth="1"/>
    <col min="1542" max="1542" width="11.375" style="345" bestFit="1" customWidth="1"/>
    <col min="1543" max="1546" width="9.25" style="345" bestFit="1" customWidth="1"/>
    <col min="1547" max="1547" width="9" style="345"/>
    <col min="1548" max="1548" width="9.5" style="345" bestFit="1" customWidth="1"/>
    <col min="1549" max="1549" width="9" style="345"/>
    <col min="1550" max="1550" width="9.75" style="345" bestFit="1" customWidth="1"/>
    <col min="1551" max="1551" width="9.25" style="345" bestFit="1" customWidth="1"/>
    <col min="1552" max="1795" width="9" style="345"/>
    <col min="1796" max="1796" width="11.625" style="345" customWidth="1"/>
    <col min="1797" max="1797" width="9.375" style="345" customWidth="1"/>
    <col min="1798" max="1798" width="11.375" style="345" bestFit="1" customWidth="1"/>
    <col min="1799" max="1802" width="9.25" style="345" bestFit="1" customWidth="1"/>
    <col min="1803" max="1803" width="9" style="345"/>
    <col min="1804" max="1804" width="9.5" style="345" bestFit="1" customWidth="1"/>
    <col min="1805" max="1805" width="9" style="345"/>
    <col min="1806" max="1806" width="9.75" style="345" bestFit="1" customWidth="1"/>
    <col min="1807" max="1807" width="9.25" style="345" bestFit="1" customWidth="1"/>
    <col min="1808" max="2051" width="9" style="345"/>
    <col min="2052" max="2052" width="11.625" style="345" customWidth="1"/>
    <col min="2053" max="2053" width="9.375" style="345" customWidth="1"/>
    <col min="2054" max="2054" width="11.375" style="345" bestFit="1" customWidth="1"/>
    <col min="2055" max="2058" width="9.25" style="345" bestFit="1" customWidth="1"/>
    <col min="2059" max="2059" width="9" style="345"/>
    <col min="2060" max="2060" width="9.5" style="345" bestFit="1" customWidth="1"/>
    <col min="2061" max="2061" width="9" style="345"/>
    <col min="2062" max="2062" width="9.75" style="345" bestFit="1" customWidth="1"/>
    <col min="2063" max="2063" width="9.25" style="345" bestFit="1" customWidth="1"/>
    <col min="2064" max="2307" width="9" style="345"/>
    <col min="2308" max="2308" width="11.625" style="345" customWidth="1"/>
    <col min="2309" max="2309" width="9.375" style="345" customWidth="1"/>
    <col min="2310" max="2310" width="11.375" style="345" bestFit="1" customWidth="1"/>
    <col min="2311" max="2314" width="9.25" style="345" bestFit="1" customWidth="1"/>
    <col min="2315" max="2315" width="9" style="345"/>
    <col min="2316" max="2316" width="9.5" style="345" bestFit="1" customWidth="1"/>
    <col min="2317" max="2317" width="9" style="345"/>
    <col min="2318" max="2318" width="9.75" style="345" bestFit="1" customWidth="1"/>
    <col min="2319" max="2319" width="9.25" style="345" bestFit="1" customWidth="1"/>
    <col min="2320" max="2563" width="9" style="345"/>
    <col min="2564" max="2564" width="11.625" style="345" customWidth="1"/>
    <col min="2565" max="2565" width="9.375" style="345" customWidth="1"/>
    <col min="2566" max="2566" width="11.375" style="345" bestFit="1" customWidth="1"/>
    <col min="2567" max="2570" width="9.25" style="345" bestFit="1" customWidth="1"/>
    <col min="2571" max="2571" width="9" style="345"/>
    <col min="2572" max="2572" width="9.5" style="345" bestFit="1" customWidth="1"/>
    <col min="2573" max="2573" width="9" style="345"/>
    <col min="2574" max="2574" width="9.75" style="345" bestFit="1" customWidth="1"/>
    <col min="2575" max="2575" width="9.25" style="345" bestFit="1" customWidth="1"/>
    <col min="2576" max="2819" width="9" style="345"/>
    <col min="2820" max="2820" width="11.625" style="345" customWidth="1"/>
    <col min="2821" max="2821" width="9.375" style="345" customWidth="1"/>
    <col min="2822" max="2822" width="11.375" style="345" bestFit="1" customWidth="1"/>
    <col min="2823" max="2826" width="9.25" style="345" bestFit="1" customWidth="1"/>
    <col min="2827" max="2827" width="9" style="345"/>
    <col min="2828" max="2828" width="9.5" style="345" bestFit="1" customWidth="1"/>
    <col min="2829" max="2829" width="9" style="345"/>
    <col min="2830" max="2830" width="9.75" style="345" bestFit="1" customWidth="1"/>
    <col min="2831" max="2831" width="9.25" style="345" bestFit="1" customWidth="1"/>
    <col min="2832" max="3075" width="9" style="345"/>
    <col min="3076" max="3076" width="11.625" style="345" customWidth="1"/>
    <col min="3077" max="3077" width="9.375" style="345" customWidth="1"/>
    <col min="3078" max="3078" width="11.375" style="345" bestFit="1" customWidth="1"/>
    <col min="3079" max="3082" width="9.25" style="345" bestFit="1" customWidth="1"/>
    <col min="3083" max="3083" width="9" style="345"/>
    <col min="3084" max="3084" width="9.5" style="345" bestFit="1" customWidth="1"/>
    <col min="3085" max="3085" width="9" style="345"/>
    <col min="3086" max="3086" width="9.75" style="345" bestFit="1" customWidth="1"/>
    <col min="3087" max="3087" width="9.25" style="345" bestFit="1" customWidth="1"/>
    <col min="3088" max="3331" width="9" style="345"/>
    <col min="3332" max="3332" width="11.625" style="345" customWidth="1"/>
    <col min="3333" max="3333" width="9.375" style="345" customWidth="1"/>
    <col min="3334" max="3334" width="11.375" style="345" bestFit="1" customWidth="1"/>
    <col min="3335" max="3338" width="9.25" style="345" bestFit="1" customWidth="1"/>
    <col min="3339" max="3339" width="9" style="345"/>
    <col min="3340" max="3340" width="9.5" style="345" bestFit="1" customWidth="1"/>
    <col min="3341" max="3341" width="9" style="345"/>
    <col min="3342" max="3342" width="9.75" style="345" bestFit="1" customWidth="1"/>
    <col min="3343" max="3343" width="9.25" style="345" bestFit="1" customWidth="1"/>
    <col min="3344" max="3587" width="9" style="345"/>
    <col min="3588" max="3588" width="11.625" style="345" customWidth="1"/>
    <col min="3589" max="3589" width="9.375" style="345" customWidth="1"/>
    <col min="3590" max="3590" width="11.375" style="345" bestFit="1" customWidth="1"/>
    <col min="3591" max="3594" width="9.25" style="345" bestFit="1" customWidth="1"/>
    <col min="3595" max="3595" width="9" style="345"/>
    <col min="3596" max="3596" width="9.5" style="345" bestFit="1" customWidth="1"/>
    <col min="3597" max="3597" width="9" style="345"/>
    <col min="3598" max="3598" width="9.75" style="345" bestFit="1" customWidth="1"/>
    <col min="3599" max="3599" width="9.25" style="345" bestFit="1" customWidth="1"/>
    <col min="3600" max="3843" width="9" style="345"/>
    <col min="3844" max="3844" width="11.625" style="345" customWidth="1"/>
    <col min="3845" max="3845" width="9.375" style="345" customWidth="1"/>
    <col min="3846" max="3846" width="11.375" style="345" bestFit="1" customWidth="1"/>
    <col min="3847" max="3850" width="9.25" style="345" bestFit="1" customWidth="1"/>
    <col min="3851" max="3851" width="9" style="345"/>
    <col min="3852" max="3852" width="9.5" style="345" bestFit="1" customWidth="1"/>
    <col min="3853" max="3853" width="9" style="345"/>
    <col min="3854" max="3854" width="9.75" style="345" bestFit="1" customWidth="1"/>
    <col min="3855" max="3855" width="9.25" style="345" bestFit="1" customWidth="1"/>
    <col min="3856" max="4099" width="9" style="345"/>
    <col min="4100" max="4100" width="11.625" style="345" customWidth="1"/>
    <col min="4101" max="4101" width="9.375" style="345" customWidth="1"/>
    <col min="4102" max="4102" width="11.375" style="345" bestFit="1" customWidth="1"/>
    <col min="4103" max="4106" width="9.25" style="345" bestFit="1" customWidth="1"/>
    <col min="4107" max="4107" width="9" style="345"/>
    <col min="4108" max="4108" width="9.5" style="345" bestFit="1" customWidth="1"/>
    <col min="4109" max="4109" width="9" style="345"/>
    <col min="4110" max="4110" width="9.75" style="345" bestFit="1" customWidth="1"/>
    <col min="4111" max="4111" width="9.25" style="345" bestFit="1" customWidth="1"/>
    <col min="4112" max="4355" width="9" style="345"/>
    <col min="4356" max="4356" width="11.625" style="345" customWidth="1"/>
    <col min="4357" max="4357" width="9.375" style="345" customWidth="1"/>
    <col min="4358" max="4358" width="11.375" style="345" bestFit="1" customWidth="1"/>
    <col min="4359" max="4362" width="9.25" style="345" bestFit="1" customWidth="1"/>
    <col min="4363" max="4363" width="9" style="345"/>
    <col min="4364" max="4364" width="9.5" style="345" bestFit="1" customWidth="1"/>
    <col min="4365" max="4365" width="9" style="345"/>
    <col min="4366" max="4366" width="9.75" style="345" bestFit="1" customWidth="1"/>
    <col min="4367" max="4367" width="9.25" style="345" bestFit="1" customWidth="1"/>
    <col min="4368" max="4611" width="9" style="345"/>
    <col min="4612" max="4612" width="11.625" style="345" customWidth="1"/>
    <col min="4613" max="4613" width="9.375" style="345" customWidth="1"/>
    <col min="4614" max="4614" width="11.375" style="345" bestFit="1" customWidth="1"/>
    <col min="4615" max="4618" width="9.25" style="345" bestFit="1" customWidth="1"/>
    <col min="4619" max="4619" width="9" style="345"/>
    <col min="4620" max="4620" width="9.5" style="345" bestFit="1" customWidth="1"/>
    <col min="4621" max="4621" width="9" style="345"/>
    <col min="4622" max="4622" width="9.75" style="345" bestFit="1" customWidth="1"/>
    <col min="4623" max="4623" width="9.25" style="345" bestFit="1" customWidth="1"/>
    <col min="4624" max="4867" width="9" style="345"/>
    <col min="4868" max="4868" width="11.625" style="345" customWidth="1"/>
    <col min="4869" max="4869" width="9.375" style="345" customWidth="1"/>
    <col min="4870" max="4870" width="11.375" style="345" bestFit="1" customWidth="1"/>
    <col min="4871" max="4874" width="9.25" style="345" bestFit="1" customWidth="1"/>
    <col min="4875" max="4875" width="9" style="345"/>
    <col min="4876" max="4876" width="9.5" style="345" bestFit="1" customWidth="1"/>
    <col min="4877" max="4877" width="9" style="345"/>
    <col min="4878" max="4878" width="9.75" style="345" bestFit="1" customWidth="1"/>
    <col min="4879" max="4879" width="9.25" style="345" bestFit="1" customWidth="1"/>
    <col min="4880" max="5123" width="9" style="345"/>
    <col min="5124" max="5124" width="11.625" style="345" customWidth="1"/>
    <col min="5125" max="5125" width="9.375" style="345" customWidth="1"/>
    <col min="5126" max="5126" width="11.375" style="345" bestFit="1" customWidth="1"/>
    <col min="5127" max="5130" width="9.25" style="345" bestFit="1" customWidth="1"/>
    <col min="5131" max="5131" width="9" style="345"/>
    <col min="5132" max="5132" width="9.5" style="345" bestFit="1" customWidth="1"/>
    <col min="5133" max="5133" width="9" style="345"/>
    <col min="5134" max="5134" width="9.75" style="345" bestFit="1" customWidth="1"/>
    <col min="5135" max="5135" width="9.25" style="345" bestFit="1" customWidth="1"/>
    <col min="5136" max="5379" width="9" style="345"/>
    <col min="5380" max="5380" width="11.625" style="345" customWidth="1"/>
    <col min="5381" max="5381" width="9.375" style="345" customWidth="1"/>
    <col min="5382" max="5382" width="11.375" style="345" bestFit="1" customWidth="1"/>
    <col min="5383" max="5386" width="9.25" style="345" bestFit="1" customWidth="1"/>
    <col min="5387" max="5387" width="9" style="345"/>
    <col min="5388" max="5388" width="9.5" style="345" bestFit="1" customWidth="1"/>
    <col min="5389" max="5389" width="9" style="345"/>
    <col min="5390" max="5390" width="9.75" style="345" bestFit="1" customWidth="1"/>
    <col min="5391" max="5391" width="9.25" style="345" bestFit="1" customWidth="1"/>
    <col min="5392" max="5635" width="9" style="345"/>
    <col min="5636" max="5636" width="11.625" style="345" customWidth="1"/>
    <col min="5637" max="5637" width="9.375" style="345" customWidth="1"/>
    <col min="5638" max="5638" width="11.375" style="345" bestFit="1" customWidth="1"/>
    <col min="5639" max="5642" width="9.25" style="345" bestFit="1" customWidth="1"/>
    <col min="5643" max="5643" width="9" style="345"/>
    <col min="5644" max="5644" width="9.5" style="345" bestFit="1" customWidth="1"/>
    <col min="5645" max="5645" width="9" style="345"/>
    <col min="5646" max="5646" width="9.75" style="345" bestFit="1" customWidth="1"/>
    <col min="5647" max="5647" width="9.25" style="345" bestFit="1" customWidth="1"/>
    <col min="5648" max="5891" width="9" style="345"/>
    <col min="5892" max="5892" width="11.625" style="345" customWidth="1"/>
    <col min="5893" max="5893" width="9.375" style="345" customWidth="1"/>
    <col min="5894" max="5894" width="11.375" style="345" bestFit="1" customWidth="1"/>
    <col min="5895" max="5898" width="9.25" style="345" bestFit="1" customWidth="1"/>
    <col min="5899" max="5899" width="9" style="345"/>
    <col min="5900" max="5900" width="9.5" style="345" bestFit="1" customWidth="1"/>
    <col min="5901" max="5901" width="9" style="345"/>
    <col min="5902" max="5902" width="9.75" style="345" bestFit="1" customWidth="1"/>
    <col min="5903" max="5903" width="9.25" style="345" bestFit="1" customWidth="1"/>
    <col min="5904" max="6147" width="9" style="345"/>
    <col min="6148" max="6148" width="11.625" style="345" customWidth="1"/>
    <col min="6149" max="6149" width="9.375" style="345" customWidth="1"/>
    <col min="6150" max="6150" width="11.375" style="345" bestFit="1" customWidth="1"/>
    <col min="6151" max="6154" width="9.25" style="345" bestFit="1" customWidth="1"/>
    <col min="6155" max="6155" width="9" style="345"/>
    <col min="6156" max="6156" width="9.5" style="345" bestFit="1" customWidth="1"/>
    <col min="6157" max="6157" width="9" style="345"/>
    <col min="6158" max="6158" width="9.75" style="345" bestFit="1" customWidth="1"/>
    <col min="6159" max="6159" width="9.25" style="345" bestFit="1" customWidth="1"/>
    <col min="6160" max="6403" width="9" style="345"/>
    <col min="6404" max="6404" width="11.625" style="345" customWidth="1"/>
    <col min="6405" max="6405" width="9.375" style="345" customWidth="1"/>
    <col min="6406" max="6406" width="11.375" style="345" bestFit="1" customWidth="1"/>
    <col min="6407" max="6410" width="9.25" style="345" bestFit="1" customWidth="1"/>
    <col min="6411" max="6411" width="9" style="345"/>
    <col min="6412" max="6412" width="9.5" style="345" bestFit="1" customWidth="1"/>
    <col min="6413" max="6413" width="9" style="345"/>
    <col min="6414" max="6414" width="9.75" style="345" bestFit="1" customWidth="1"/>
    <col min="6415" max="6415" width="9.25" style="345" bestFit="1" customWidth="1"/>
    <col min="6416" max="6659" width="9" style="345"/>
    <col min="6660" max="6660" width="11.625" style="345" customWidth="1"/>
    <col min="6661" max="6661" width="9.375" style="345" customWidth="1"/>
    <col min="6662" max="6662" width="11.375" style="345" bestFit="1" customWidth="1"/>
    <col min="6663" max="6666" width="9.25" style="345" bestFit="1" customWidth="1"/>
    <col min="6667" max="6667" width="9" style="345"/>
    <col min="6668" max="6668" width="9.5" style="345" bestFit="1" customWidth="1"/>
    <col min="6669" max="6669" width="9" style="345"/>
    <col min="6670" max="6670" width="9.75" style="345" bestFit="1" customWidth="1"/>
    <col min="6671" max="6671" width="9.25" style="345" bestFit="1" customWidth="1"/>
    <col min="6672" max="6915" width="9" style="345"/>
    <col min="6916" max="6916" width="11.625" style="345" customWidth="1"/>
    <col min="6917" max="6917" width="9.375" style="345" customWidth="1"/>
    <col min="6918" max="6918" width="11.375" style="345" bestFit="1" customWidth="1"/>
    <col min="6919" max="6922" width="9.25" style="345" bestFit="1" customWidth="1"/>
    <col min="6923" max="6923" width="9" style="345"/>
    <col min="6924" max="6924" width="9.5" style="345" bestFit="1" customWidth="1"/>
    <col min="6925" max="6925" width="9" style="345"/>
    <col min="6926" max="6926" width="9.75" style="345" bestFit="1" customWidth="1"/>
    <col min="6927" max="6927" width="9.25" style="345" bestFit="1" customWidth="1"/>
    <col min="6928" max="7171" width="9" style="345"/>
    <col min="7172" max="7172" width="11.625" style="345" customWidth="1"/>
    <col min="7173" max="7173" width="9.375" style="345" customWidth="1"/>
    <col min="7174" max="7174" width="11.375" style="345" bestFit="1" customWidth="1"/>
    <col min="7175" max="7178" width="9.25" style="345" bestFit="1" customWidth="1"/>
    <col min="7179" max="7179" width="9" style="345"/>
    <col min="7180" max="7180" width="9.5" style="345" bestFit="1" customWidth="1"/>
    <col min="7181" max="7181" width="9" style="345"/>
    <col min="7182" max="7182" width="9.75" style="345" bestFit="1" customWidth="1"/>
    <col min="7183" max="7183" width="9.25" style="345" bestFit="1" customWidth="1"/>
    <col min="7184" max="7427" width="9" style="345"/>
    <col min="7428" max="7428" width="11.625" style="345" customWidth="1"/>
    <col min="7429" max="7429" width="9.375" style="345" customWidth="1"/>
    <col min="7430" max="7430" width="11.375" style="345" bestFit="1" customWidth="1"/>
    <col min="7431" max="7434" width="9.25" style="345" bestFit="1" customWidth="1"/>
    <col min="7435" max="7435" width="9" style="345"/>
    <col min="7436" max="7436" width="9.5" style="345" bestFit="1" customWidth="1"/>
    <col min="7437" max="7437" width="9" style="345"/>
    <col min="7438" max="7438" width="9.75" style="345" bestFit="1" customWidth="1"/>
    <col min="7439" max="7439" width="9.25" style="345" bestFit="1" customWidth="1"/>
    <col min="7440" max="7683" width="9" style="345"/>
    <col min="7684" max="7684" width="11.625" style="345" customWidth="1"/>
    <col min="7685" max="7685" width="9.375" style="345" customWidth="1"/>
    <col min="7686" max="7686" width="11.375" style="345" bestFit="1" customWidth="1"/>
    <col min="7687" max="7690" width="9.25" style="345" bestFit="1" customWidth="1"/>
    <col min="7691" max="7691" width="9" style="345"/>
    <col min="7692" max="7692" width="9.5" style="345" bestFit="1" customWidth="1"/>
    <col min="7693" max="7693" width="9" style="345"/>
    <col min="7694" max="7694" width="9.75" style="345" bestFit="1" customWidth="1"/>
    <col min="7695" max="7695" width="9.25" style="345" bestFit="1" customWidth="1"/>
    <col min="7696" max="7939" width="9" style="345"/>
    <col min="7940" max="7940" width="11.625" style="345" customWidth="1"/>
    <col min="7941" max="7941" width="9.375" style="345" customWidth="1"/>
    <col min="7942" max="7942" width="11.375" style="345" bestFit="1" customWidth="1"/>
    <col min="7943" max="7946" width="9.25" style="345" bestFit="1" customWidth="1"/>
    <col min="7947" max="7947" width="9" style="345"/>
    <col min="7948" max="7948" width="9.5" style="345" bestFit="1" customWidth="1"/>
    <col min="7949" max="7949" width="9" style="345"/>
    <col min="7950" max="7950" width="9.75" style="345" bestFit="1" customWidth="1"/>
    <col min="7951" max="7951" width="9.25" style="345" bestFit="1" customWidth="1"/>
    <col min="7952" max="8195" width="9" style="345"/>
    <col min="8196" max="8196" width="11.625" style="345" customWidth="1"/>
    <col min="8197" max="8197" width="9.375" style="345" customWidth="1"/>
    <col min="8198" max="8198" width="11.375" style="345" bestFit="1" customWidth="1"/>
    <col min="8199" max="8202" width="9.25" style="345" bestFit="1" customWidth="1"/>
    <col min="8203" max="8203" width="9" style="345"/>
    <col min="8204" max="8204" width="9.5" style="345" bestFit="1" customWidth="1"/>
    <col min="8205" max="8205" width="9" style="345"/>
    <col min="8206" max="8206" width="9.75" style="345" bestFit="1" customWidth="1"/>
    <col min="8207" max="8207" width="9.25" style="345" bestFit="1" customWidth="1"/>
    <col min="8208" max="8451" width="9" style="345"/>
    <col min="8452" max="8452" width="11.625" style="345" customWidth="1"/>
    <col min="8453" max="8453" width="9.375" style="345" customWidth="1"/>
    <col min="8454" max="8454" width="11.375" style="345" bestFit="1" customWidth="1"/>
    <col min="8455" max="8458" width="9.25" style="345" bestFit="1" customWidth="1"/>
    <col min="8459" max="8459" width="9" style="345"/>
    <col min="8460" max="8460" width="9.5" style="345" bestFit="1" customWidth="1"/>
    <col min="8461" max="8461" width="9" style="345"/>
    <col min="8462" max="8462" width="9.75" style="345" bestFit="1" customWidth="1"/>
    <col min="8463" max="8463" width="9.25" style="345" bestFit="1" customWidth="1"/>
    <col min="8464" max="8707" width="9" style="345"/>
    <col min="8708" max="8708" width="11.625" style="345" customWidth="1"/>
    <col min="8709" max="8709" width="9.375" style="345" customWidth="1"/>
    <col min="8710" max="8710" width="11.375" style="345" bestFit="1" customWidth="1"/>
    <col min="8711" max="8714" width="9.25" style="345" bestFit="1" customWidth="1"/>
    <col min="8715" max="8715" width="9" style="345"/>
    <col min="8716" max="8716" width="9.5" style="345" bestFit="1" customWidth="1"/>
    <col min="8717" max="8717" width="9" style="345"/>
    <col min="8718" max="8718" width="9.75" style="345" bestFit="1" customWidth="1"/>
    <col min="8719" max="8719" width="9.25" style="345" bestFit="1" customWidth="1"/>
    <col min="8720" max="8963" width="9" style="345"/>
    <col min="8964" max="8964" width="11.625" style="345" customWidth="1"/>
    <col min="8965" max="8965" width="9.375" style="345" customWidth="1"/>
    <col min="8966" max="8966" width="11.375" style="345" bestFit="1" customWidth="1"/>
    <col min="8967" max="8970" width="9.25" style="345" bestFit="1" customWidth="1"/>
    <col min="8971" max="8971" width="9" style="345"/>
    <col min="8972" max="8972" width="9.5" style="345" bestFit="1" customWidth="1"/>
    <col min="8973" max="8973" width="9" style="345"/>
    <col min="8974" max="8974" width="9.75" style="345" bestFit="1" customWidth="1"/>
    <col min="8975" max="8975" width="9.25" style="345" bestFit="1" customWidth="1"/>
    <col min="8976" max="9219" width="9" style="345"/>
    <col min="9220" max="9220" width="11.625" style="345" customWidth="1"/>
    <col min="9221" max="9221" width="9.375" style="345" customWidth="1"/>
    <col min="9222" max="9222" width="11.375" style="345" bestFit="1" customWidth="1"/>
    <col min="9223" max="9226" width="9.25" style="345" bestFit="1" customWidth="1"/>
    <col min="9227" max="9227" width="9" style="345"/>
    <col min="9228" max="9228" width="9.5" style="345" bestFit="1" customWidth="1"/>
    <col min="9229" max="9229" width="9" style="345"/>
    <col min="9230" max="9230" width="9.75" style="345" bestFit="1" customWidth="1"/>
    <col min="9231" max="9231" width="9.25" style="345" bestFit="1" customWidth="1"/>
    <col min="9232" max="9475" width="9" style="345"/>
    <col min="9476" max="9476" width="11.625" style="345" customWidth="1"/>
    <col min="9477" max="9477" width="9.375" style="345" customWidth="1"/>
    <col min="9478" max="9478" width="11.375" style="345" bestFit="1" customWidth="1"/>
    <col min="9479" max="9482" width="9.25" style="345" bestFit="1" customWidth="1"/>
    <col min="9483" max="9483" width="9" style="345"/>
    <col min="9484" max="9484" width="9.5" style="345" bestFit="1" customWidth="1"/>
    <col min="9485" max="9485" width="9" style="345"/>
    <col min="9486" max="9486" width="9.75" style="345" bestFit="1" customWidth="1"/>
    <col min="9487" max="9487" width="9.25" style="345" bestFit="1" customWidth="1"/>
    <col min="9488" max="9731" width="9" style="345"/>
    <col min="9732" max="9732" width="11.625" style="345" customWidth="1"/>
    <col min="9733" max="9733" width="9.375" style="345" customWidth="1"/>
    <col min="9734" max="9734" width="11.375" style="345" bestFit="1" customWidth="1"/>
    <col min="9735" max="9738" width="9.25" style="345" bestFit="1" customWidth="1"/>
    <col min="9739" max="9739" width="9" style="345"/>
    <col min="9740" max="9740" width="9.5" style="345" bestFit="1" customWidth="1"/>
    <col min="9741" max="9741" width="9" style="345"/>
    <col min="9742" max="9742" width="9.75" style="345" bestFit="1" customWidth="1"/>
    <col min="9743" max="9743" width="9.25" style="345" bestFit="1" customWidth="1"/>
    <col min="9744" max="9987" width="9" style="345"/>
    <col min="9988" max="9988" width="11.625" style="345" customWidth="1"/>
    <col min="9989" max="9989" width="9.375" style="345" customWidth="1"/>
    <col min="9990" max="9990" width="11.375" style="345" bestFit="1" customWidth="1"/>
    <col min="9991" max="9994" width="9.25" style="345" bestFit="1" customWidth="1"/>
    <col min="9995" max="9995" width="9" style="345"/>
    <col min="9996" max="9996" width="9.5" style="345" bestFit="1" customWidth="1"/>
    <col min="9997" max="9997" width="9" style="345"/>
    <col min="9998" max="9998" width="9.75" style="345" bestFit="1" customWidth="1"/>
    <col min="9999" max="9999" width="9.25" style="345" bestFit="1" customWidth="1"/>
    <col min="10000" max="10243" width="9" style="345"/>
    <col min="10244" max="10244" width="11.625" style="345" customWidth="1"/>
    <col min="10245" max="10245" width="9.375" style="345" customWidth="1"/>
    <col min="10246" max="10246" width="11.375" style="345" bestFit="1" customWidth="1"/>
    <col min="10247" max="10250" width="9.25" style="345" bestFit="1" customWidth="1"/>
    <col min="10251" max="10251" width="9" style="345"/>
    <col min="10252" max="10252" width="9.5" style="345" bestFit="1" customWidth="1"/>
    <col min="10253" max="10253" width="9" style="345"/>
    <col min="10254" max="10254" width="9.75" style="345" bestFit="1" customWidth="1"/>
    <col min="10255" max="10255" width="9.25" style="345" bestFit="1" customWidth="1"/>
    <col min="10256" max="10499" width="9" style="345"/>
    <col min="10500" max="10500" width="11.625" style="345" customWidth="1"/>
    <col min="10501" max="10501" width="9.375" style="345" customWidth="1"/>
    <col min="10502" max="10502" width="11.375" style="345" bestFit="1" customWidth="1"/>
    <col min="10503" max="10506" width="9.25" style="345" bestFit="1" customWidth="1"/>
    <col min="10507" max="10507" width="9" style="345"/>
    <col min="10508" max="10508" width="9.5" style="345" bestFit="1" customWidth="1"/>
    <col min="10509" max="10509" width="9" style="345"/>
    <col min="10510" max="10510" width="9.75" style="345" bestFit="1" customWidth="1"/>
    <col min="10511" max="10511" width="9.25" style="345" bestFit="1" customWidth="1"/>
    <col min="10512" max="10755" width="9" style="345"/>
    <col min="10756" max="10756" width="11.625" style="345" customWidth="1"/>
    <col min="10757" max="10757" width="9.375" style="345" customWidth="1"/>
    <col min="10758" max="10758" width="11.375" style="345" bestFit="1" customWidth="1"/>
    <col min="10759" max="10762" width="9.25" style="345" bestFit="1" customWidth="1"/>
    <col min="10763" max="10763" width="9" style="345"/>
    <col min="10764" max="10764" width="9.5" style="345" bestFit="1" customWidth="1"/>
    <col min="10765" max="10765" width="9" style="345"/>
    <col min="10766" max="10766" width="9.75" style="345" bestFit="1" customWidth="1"/>
    <col min="10767" max="10767" width="9.25" style="345" bestFit="1" customWidth="1"/>
    <col min="10768" max="11011" width="9" style="345"/>
    <col min="11012" max="11012" width="11.625" style="345" customWidth="1"/>
    <col min="11013" max="11013" width="9.375" style="345" customWidth="1"/>
    <col min="11014" max="11014" width="11.375" style="345" bestFit="1" customWidth="1"/>
    <col min="11015" max="11018" width="9.25" style="345" bestFit="1" customWidth="1"/>
    <col min="11019" max="11019" width="9" style="345"/>
    <col min="11020" max="11020" width="9.5" style="345" bestFit="1" customWidth="1"/>
    <col min="11021" max="11021" width="9" style="345"/>
    <col min="11022" max="11022" width="9.75" style="345" bestFit="1" customWidth="1"/>
    <col min="11023" max="11023" width="9.25" style="345" bestFit="1" customWidth="1"/>
    <col min="11024" max="11267" width="9" style="345"/>
    <col min="11268" max="11268" width="11.625" style="345" customWidth="1"/>
    <col min="11269" max="11269" width="9.375" style="345" customWidth="1"/>
    <col min="11270" max="11270" width="11.375" style="345" bestFit="1" customWidth="1"/>
    <col min="11271" max="11274" width="9.25" style="345" bestFit="1" customWidth="1"/>
    <col min="11275" max="11275" width="9" style="345"/>
    <col min="11276" max="11276" width="9.5" style="345" bestFit="1" customWidth="1"/>
    <col min="11277" max="11277" width="9" style="345"/>
    <col min="11278" max="11278" width="9.75" style="345" bestFit="1" customWidth="1"/>
    <col min="11279" max="11279" width="9.25" style="345" bestFit="1" customWidth="1"/>
    <col min="11280" max="11523" width="9" style="345"/>
    <col min="11524" max="11524" width="11.625" style="345" customWidth="1"/>
    <col min="11525" max="11525" width="9.375" style="345" customWidth="1"/>
    <col min="11526" max="11526" width="11.375" style="345" bestFit="1" customWidth="1"/>
    <col min="11527" max="11530" width="9.25" style="345" bestFit="1" customWidth="1"/>
    <col min="11531" max="11531" width="9" style="345"/>
    <col min="11532" max="11532" width="9.5" style="345" bestFit="1" customWidth="1"/>
    <col min="11533" max="11533" width="9" style="345"/>
    <col min="11534" max="11534" width="9.75" style="345" bestFit="1" customWidth="1"/>
    <col min="11535" max="11535" width="9.25" style="345" bestFit="1" customWidth="1"/>
    <col min="11536" max="11779" width="9" style="345"/>
    <col min="11780" max="11780" width="11.625" style="345" customWidth="1"/>
    <col min="11781" max="11781" width="9.375" style="345" customWidth="1"/>
    <col min="11782" max="11782" width="11.375" style="345" bestFit="1" customWidth="1"/>
    <col min="11783" max="11786" width="9.25" style="345" bestFit="1" customWidth="1"/>
    <col min="11787" max="11787" width="9" style="345"/>
    <col min="11788" max="11788" width="9.5" style="345" bestFit="1" customWidth="1"/>
    <col min="11789" max="11789" width="9" style="345"/>
    <col min="11790" max="11790" width="9.75" style="345" bestFit="1" customWidth="1"/>
    <col min="11791" max="11791" width="9.25" style="345" bestFit="1" customWidth="1"/>
    <col min="11792" max="12035" width="9" style="345"/>
    <col min="12036" max="12036" width="11.625" style="345" customWidth="1"/>
    <col min="12037" max="12037" width="9.375" style="345" customWidth="1"/>
    <col min="12038" max="12038" width="11.375" style="345" bestFit="1" customWidth="1"/>
    <col min="12039" max="12042" width="9.25" style="345" bestFit="1" customWidth="1"/>
    <col min="12043" max="12043" width="9" style="345"/>
    <col min="12044" max="12044" width="9.5" style="345" bestFit="1" customWidth="1"/>
    <col min="12045" max="12045" width="9" style="345"/>
    <col min="12046" max="12046" width="9.75" style="345" bestFit="1" customWidth="1"/>
    <col min="12047" max="12047" width="9.25" style="345" bestFit="1" customWidth="1"/>
    <col min="12048" max="12291" width="9" style="345"/>
    <col min="12292" max="12292" width="11.625" style="345" customWidth="1"/>
    <col min="12293" max="12293" width="9.375" style="345" customWidth="1"/>
    <col min="12294" max="12294" width="11.375" style="345" bestFit="1" customWidth="1"/>
    <col min="12295" max="12298" width="9.25" style="345" bestFit="1" customWidth="1"/>
    <col min="12299" max="12299" width="9" style="345"/>
    <col min="12300" max="12300" width="9.5" style="345" bestFit="1" customWidth="1"/>
    <col min="12301" max="12301" width="9" style="345"/>
    <col min="12302" max="12302" width="9.75" style="345" bestFit="1" customWidth="1"/>
    <col min="12303" max="12303" width="9.25" style="345" bestFit="1" customWidth="1"/>
    <col min="12304" max="12547" width="9" style="345"/>
    <col min="12548" max="12548" width="11.625" style="345" customWidth="1"/>
    <col min="12549" max="12549" width="9.375" style="345" customWidth="1"/>
    <col min="12550" max="12550" width="11.375" style="345" bestFit="1" customWidth="1"/>
    <col min="12551" max="12554" width="9.25" style="345" bestFit="1" customWidth="1"/>
    <col min="12555" max="12555" width="9" style="345"/>
    <col min="12556" max="12556" width="9.5" style="345" bestFit="1" customWidth="1"/>
    <col min="12557" max="12557" width="9" style="345"/>
    <col min="12558" max="12558" width="9.75" style="345" bestFit="1" customWidth="1"/>
    <col min="12559" max="12559" width="9.25" style="345" bestFit="1" customWidth="1"/>
    <col min="12560" max="12803" width="9" style="345"/>
    <col min="12804" max="12804" width="11.625" style="345" customWidth="1"/>
    <col min="12805" max="12805" width="9.375" style="345" customWidth="1"/>
    <col min="12806" max="12806" width="11.375" style="345" bestFit="1" customWidth="1"/>
    <col min="12807" max="12810" width="9.25" style="345" bestFit="1" customWidth="1"/>
    <col min="12811" max="12811" width="9" style="345"/>
    <col min="12812" max="12812" width="9.5" style="345" bestFit="1" customWidth="1"/>
    <col min="12813" max="12813" width="9" style="345"/>
    <col min="12814" max="12814" width="9.75" style="345" bestFit="1" customWidth="1"/>
    <col min="12815" max="12815" width="9.25" style="345" bestFit="1" customWidth="1"/>
    <col min="12816" max="13059" width="9" style="345"/>
    <col min="13060" max="13060" width="11.625" style="345" customWidth="1"/>
    <col min="13061" max="13061" width="9.375" style="345" customWidth="1"/>
    <col min="13062" max="13062" width="11.375" style="345" bestFit="1" customWidth="1"/>
    <col min="13063" max="13066" width="9.25" style="345" bestFit="1" customWidth="1"/>
    <col min="13067" max="13067" width="9" style="345"/>
    <col min="13068" max="13068" width="9.5" style="345" bestFit="1" customWidth="1"/>
    <col min="13069" max="13069" width="9" style="345"/>
    <col min="13070" max="13070" width="9.75" style="345" bestFit="1" customWidth="1"/>
    <col min="13071" max="13071" width="9.25" style="345" bestFit="1" customWidth="1"/>
    <col min="13072" max="13315" width="9" style="345"/>
    <col min="13316" max="13316" width="11.625" style="345" customWidth="1"/>
    <col min="13317" max="13317" width="9.375" style="345" customWidth="1"/>
    <col min="13318" max="13318" width="11.375" style="345" bestFit="1" customWidth="1"/>
    <col min="13319" max="13322" width="9.25" style="345" bestFit="1" customWidth="1"/>
    <col min="13323" max="13323" width="9" style="345"/>
    <col min="13324" max="13324" width="9.5" style="345" bestFit="1" customWidth="1"/>
    <col min="13325" max="13325" width="9" style="345"/>
    <col min="13326" max="13326" width="9.75" style="345" bestFit="1" customWidth="1"/>
    <col min="13327" max="13327" width="9.25" style="345" bestFit="1" customWidth="1"/>
    <col min="13328" max="13571" width="9" style="345"/>
    <col min="13572" max="13572" width="11.625" style="345" customWidth="1"/>
    <col min="13573" max="13573" width="9.375" style="345" customWidth="1"/>
    <col min="13574" max="13574" width="11.375" style="345" bestFit="1" customWidth="1"/>
    <col min="13575" max="13578" width="9.25" style="345" bestFit="1" customWidth="1"/>
    <col min="13579" max="13579" width="9" style="345"/>
    <col min="13580" max="13580" width="9.5" style="345" bestFit="1" customWidth="1"/>
    <col min="13581" max="13581" width="9" style="345"/>
    <col min="13582" max="13582" width="9.75" style="345" bestFit="1" customWidth="1"/>
    <col min="13583" max="13583" width="9.25" style="345" bestFit="1" customWidth="1"/>
    <col min="13584" max="13827" width="9" style="345"/>
    <col min="13828" max="13828" width="11.625" style="345" customWidth="1"/>
    <col min="13829" max="13829" width="9.375" style="345" customWidth="1"/>
    <col min="13830" max="13830" width="11.375" style="345" bestFit="1" customWidth="1"/>
    <col min="13831" max="13834" width="9.25" style="345" bestFit="1" customWidth="1"/>
    <col min="13835" max="13835" width="9" style="345"/>
    <col min="13836" max="13836" width="9.5" style="345" bestFit="1" customWidth="1"/>
    <col min="13837" max="13837" width="9" style="345"/>
    <col min="13838" max="13838" width="9.75" style="345" bestFit="1" customWidth="1"/>
    <col min="13839" max="13839" width="9.25" style="345" bestFit="1" customWidth="1"/>
    <col min="13840" max="14083" width="9" style="345"/>
    <col min="14084" max="14084" width="11.625" style="345" customWidth="1"/>
    <col min="14085" max="14085" width="9.375" style="345" customWidth="1"/>
    <col min="14086" max="14086" width="11.375" style="345" bestFit="1" customWidth="1"/>
    <col min="14087" max="14090" width="9.25" style="345" bestFit="1" customWidth="1"/>
    <col min="14091" max="14091" width="9" style="345"/>
    <col min="14092" max="14092" width="9.5" style="345" bestFit="1" customWidth="1"/>
    <col min="14093" max="14093" width="9" style="345"/>
    <col min="14094" max="14094" width="9.75" style="345" bestFit="1" customWidth="1"/>
    <col min="14095" max="14095" width="9.25" style="345" bestFit="1" customWidth="1"/>
    <col min="14096" max="14339" width="9" style="345"/>
    <col min="14340" max="14340" width="11.625" style="345" customWidth="1"/>
    <col min="14341" max="14341" width="9.375" style="345" customWidth="1"/>
    <col min="14342" max="14342" width="11.375" style="345" bestFit="1" customWidth="1"/>
    <col min="14343" max="14346" width="9.25" style="345" bestFit="1" customWidth="1"/>
    <col min="14347" max="14347" width="9" style="345"/>
    <col min="14348" max="14348" width="9.5" style="345" bestFit="1" customWidth="1"/>
    <col min="14349" max="14349" width="9" style="345"/>
    <col min="14350" max="14350" width="9.75" style="345" bestFit="1" customWidth="1"/>
    <col min="14351" max="14351" width="9.25" style="345" bestFit="1" customWidth="1"/>
    <col min="14352" max="14595" width="9" style="345"/>
    <col min="14596" max="14596" width="11.625" style="345" customWidth="1"/>
    <col min="14597" max="14597" width="9.375" style="345" customWidth="1"/>
    <col min="14598" max="14598" width="11.375" style="345" bestFit="1" customWidth="1"/>
    <col min="14599" max="14602" width="9.25" style="345" bestFit="1" customWidth="1"/>
    <col min="14603" max="14603" width="9" style="345"/>
    <col min="14604" max="14604" width="9.5" style="345" bestFit="1" customWidth="1"/>
    <col min="14605" max="14605" width="9" style="345"/>
    <col min="14606" max="14606" width="9.75" style="345" bestFit="1" customWidth="1"/>
    <col min="14607" max="14607" width="9.25" style="345" bestFit="1" customWidth="1"/>
    <col min="14608" max="14851" width="9" style="345"/>
    <col min="14852" max="14852" width="11.625" style="345" customWidth="1"/>
    <col min="14853" max="14853" width="9.375" style="345" customWidth="1"/>
    <col min="14854" max="14854" width="11.375" style="345" bestFit="1" customWidth="1"/>
    <col min="14855" max="14858" width="9.25" style="345" bestFit="1" customWidth="1"/>
    <col min="14859" max="14859" width="9" style="345"/>
    <col min="14860" max="14860" width="9.5" style="345" bestFit="1" customWidth="1"/>
    <col min="14861" max="14861" width="9" style="345"/>
    <col min="14862" max="14862" width="9.75" style="345" bestFit="1" customWidth="1"/>
    <col min="14863" max="14863" width="9.25" style="345" bestFit="1" customWidth="1"/>
    <col min="14864" max="15107" width="9" style="345"/>
    <col min="15108" max="15108" width="11.625" style="345" customWidth="1"/>
    <col min="15109" max="15109" width="9.375" style="345" customWidth="1"/>
    <col min="15110" max="15110" width="11.375" style="345" bestFit="1" customWidth="1"/>
    <col min="15111" max="15114" width="9.25" style="345" bestFit="1" customWidth="1"/>
    <col min="15115" max="15115" width="9" style="345"/>
    <col min="15116" max="15116" width="9.5" style="345" bestFit="1" customWidth="1"/>
    <col min="15117" max="15117" width="9" style="345"/>
    <col min="15118" max="15118" width="9.75" style="345" bestFit="1" customWidth="1"/>
    <col min="15119" max="15119" width="9.25" style="345" bestFit="1" customWidth="1"/>
    <col min="15120" max="15363" width="9" style="345"/>
    <col min="15364" max="15364" width="11.625" style="345" customWidth="1"/>
    <col min="15365" max="15365" width="9.375" style="345" customWidth="1"/>
    <col min="15366" max="15366" width="11.375" style="345" bestFit="1" customWidth="1"/>
    <col min="15367" max="15370" width="9.25" style="345" bestFit="1" customWidth="1"/>
    <col min="15371" max="15371" width="9" style="345"/>
    <col min="15372" max="15372" width="9.5" style="345" bestFit="1" customWidth="1"/>
    <col min="15373" max="15373" width="9" style="345"/>
    <col min="15374" max="15374" width="9.75" style="345" bestFit="1" customWidth="1"/>
    <col min="15375" max="15375" width="9.25" style="345" bestFit="1" customWidth="1"/>
    <col min="15376" max="15619" width="9" style="345"/>
    <col min="15620" max="15620" width="11.625" style="345" customWidth="1"/>
    <col min="15621" max="15621" width="9.375" style="345" customWidth="1"/>
    <col min="15622" max="15622" width="11.375" style="345" bestFit="1" customWidth="1"/>
    <col min="15623" max="15626" width="9.25" style="345" bestFit="1" customWidth="1"/>
    <col min="15627" max="15627" width="9" style="345"/>
    <col min="15628" max="15628" width="9.5" style="345" bestFit="1" customWidth="1"/>
    <col min="15629" max="15629" width="9" style="345"/>
    <col min="15630" max="15630" width="9.75" style="345" bestFit="1" customWidth="1"/>
    <col min="15631" max="15631" width="9.25" style="345" bestFit="1" customWidth="1"/>
    <col min="15632" max="15875" width="9" style="345"/>
    <col min="15876" max="15876" width="11.625" style="345" customWidth="1"/>
    <col min="15877" max="15877" width="9.375" style="345" customWidth="1"/>
    <col min="15878" max="15878" width="11.375" style="345" bestFit="1" customWidth="1"/>
    <col min="15879" max="15882" width="9.25" style="345" bestFit="1" customWidth="1"/>
    <col min="15883" max="15883" width="9" style="345"/>
    <col min="15884" max="15884" width="9.5" style="345" bestFit="1" customWidth="1"/>
    <col min="15885" max="15885" width="9" style="345"/>
    <col min="15886" max="15886" width="9.75" style="345" bestFit="1" customWidth="1"/>
    <col min="15887" max="15887" width="9.25" style="345" bestFit="1" customWidth="1"/>
    <col min="15888" max="16131" width="9" style="345"/>
    <col min="16132" max="16132" width="11.625" style="345" customWidth="1"/>
    <col min="16133" max="16133" width="9.375" style="345" customWidth="1"/>
    <col min="16134" max="16134" width="11.375" style="345" bestFit="1" customWidth="1"/>
    <col min="16135" max="16138" width="9.25" style="345" bestFit="1" customWidth="1"/>
    <col min="16139" max="16139" width="9" style="345"/>
    <col min="16140" max="16140" width="9.5" style="345" bestFit="1" customWidth="1"/>
    <col min="16141" max="16141" width="9" style="345"/>
    <col min="16142" max="16142" width="9.75" style="345" bestFit="1" customWidth="1"/>
    <col min="16143" max="16143" width="9.25" style="345" bestFit="1" customWidth="1"/>
    <col min="16144" max="16384" width="9" style="345"/>
  </cols>
  <sheetData>
    <row r="1" spans="1:10">
      <c r="A1" s="345" t="s">
        <v>418</v>
      </c>
      <c r="C1" s="346"/>
    </row>
    <row r="2" spans="1:10">
      <c r="B2" s="347"/>
      <c r="C2" s="348" t="s">
        <v>419</v>
      </c>
      <c r="D2" s="349">
        <v>43250</v>
      </c>
      <c r="F2" s="350" t="s">
        <v>420</v>
      </c>
      <c r="G2" s="351"/>
      <c r="H2" s="351"/>
      <c r="I2" s="351"/>
    </row>
    <row r="3" spans="1:10">
      <c r="C3" s="345" t="s">
        <v>421</v>
      </c>
      <c r="D3" s="352" t="s">
        <v>422</v>
      </c>
    </row>
    <row r="4" spans="1:10">
      <c r="C4" s="345" t="s">
        <v>423</v>
      </c>
      <c r="D4" s="353" t="s">
        <v>424</v>
      </c>
    </row>
    <row r="5" spans="1:10">
      <c r="C5" s="345" t="s">
        <v>425</v>
      </c>
      <c r="D5" s="353" t="s">
        <v>424</v>
      </c>
    </row>
    <row r="6" spans="1:10">
      <c r="C6" s="345" t="s">
        <v>426</v>
      </c>
      <c r="D6" s="352">
        <v>12</v>
      </c>
    </row>
    <row r="7" spans="1:10">
      <c r="C7" s="345" t="s">
        <v>427</v>
      </c>
      <c r="D7" s="352">
        <v>1</v>
      </c>
      <c r="F7" s="354"/>
    </row>
    <row r="8" spans="1:10">
      <c r="C8" s="345" t="s">
        <v>428</v>
      </c>
      <c r="D8" s="355" t="s">
        <v>429</v>
      </c>
    </row>
    <row r="9" spans="1:10">
      <c r="C9" s="345" t="s">
        <v>430</v>
      </c>
      <c r="D9" s="329">
        <v>25</v>
      </c>
    </row>
    <row r="10" spans="1:10">
      <c r="C10" s="345" t="s">
        <v>431</v>
      </c>
      <c r="D10" s="345">
        <v>50</v>
      </c>
    </row>
    <row r="11" spans="1:10">
      <c r="C11" s="356" t="s">
        <v>432</v>
      </c>
    </row>
    <row r="12" spans="1:10">
      <c r="C12" s="357" t="s">
        <v>433</v>
      </c>
    </row>
    <row r="13" spans="1:10">
      <c r="I13" s="358" t="e">
        <f>$I$15/H21</f>
        <v>#VALUE!</v>
      </c>
      <c r="J13" s="345" t="s">
        <v>434</v>
      </c>
    </row>
    <row r="14" spans="1:10">
      <c r="A14" s="359" t="s">
        <v>435</v>
      </c>
      <c r="B14" s="360" t="s">
        <v>436</v>
      </c>
      <c r="C14" s="361" t="s">
        <v>437</v>
      </c>
      <c r="D14" s="362"/>
      <c r="E14" s="363" t="s">
        <v>438</v>
      </c>
      <c r="F14" s="362"/>
      <c r="G14" s="362"/>
      <c r="H14" s="364"/>
      <c r="I14" s="360" t="s">
        <v>439</v>
      </c>
      <c r="J14" s="365" t="s">
        <v>440</v>
      </c>
    </row>
    <row r="15" spans="1:10" ht="15" thickBot="1">
      <c r="A15" s="366" t="s">
        <v>441</v>
      </c>
      <c r="B15" s="367" t="s">
        <v>442</v>
      </c>
      <c r="C15" s="368" t="s">
        <v>36</v>
      </c>
      <c r="D15" s="368" t="s">
        <v>443</v>
      </c>
      <c r="E15" s="369" t="s">
        <v>444</v>
      </c>
      <c r="F15" s="369" t="s">
        <v>445</v>
      </c>
      <c r="G15" s="369" t="s">
        <v>446</v>
      </c>
      <c r="H15" s="370" t="s">
        <v>447</v>
      </c>
      <c r="I15" s="371" t="s">
        <v>448</v>
      </c>
      <c r="J15" s="372" t="s">
        <v>449</v>
      </c>
    </row>
    <row r="16" spans="1:10" ht="15" thickTop="1">
      <c r="A16" s="373"/>
      <c r="B16" s="374"/>
      <c r="C16" s="375">
        <v>30</v>
      </c>
      <c r="D16" s="376">
        <f>C16*$D$7</f>
        <v>30</v>
      </c>
      <c r="E16" s="377">
        <f>データ貼り付け!H3</f>
        <v>32.472999999999999</v>
      </c>
      <c r="F16" s="377">
        <f>データ貼り付け!H24</f>
        <v>32.475000000000001</v>
      </c>
      <c r="G16" s="377" t="s">
        <v>424</v>
      </c>
      <c r="H16" s="378">
        <f>AVERAGE(E16:G16)</f>
        <v>32.474000000000004</v>
      </c>
      <c r="I16" s="379" t="e">
        <f>H16*$I$13</f>
        <v>#VALUE!</v>
      </c>
      <c r="J16" s="380">
        <f>H16/$H$21</f>
        <v>0.89407100477678525</v>
      </c>
    </row>
    <row r="17" spans="1:12" ht="14.25">
      <c r="A17" s="373"/>
      <c r="B17" s="374"/>
      <c r="C17" s="375">
        <v>60</v>
      </c>
      <c r="D17" s="381">
        <f t="shared" ref="D17:D25" si="0">C17*$D$7</f>
        <v>60</v>
      </c>
      <c r="E17" s="377">
        <f>データ貼り付け!H4</f>
        <v>33.482999999999997</v>
      </c>
      <c r="F17" s="377">
        <f>データ貼り付け!H25</f>
        <v>33.482999999999997</v>
      </c>
      <c r="G17" s="382" t="s">
        <v>424</v>
      </c>
      <c r="H17" s="383">
        <f t="shared" ref="H17:H25" si="1">AVERAGE(E17:G17)</f>
        <v>33.482999999999997</v>
      </c>
      <c r="I17" s="384" t="e">
        <f t="shared" ref="I17:I25" si="2">H17*$I$13</f>
        <v>#VALUE!</v>
      </c>
      <c r="J17" s="380">
        <f t="shared" ref="J17:J25" si="3">H17/$H$21</f>
        <v>0.92185069449224277</v>
      </c>
    </row>
    <row r="18" spans="1:12" ht="14.25">
      <c r="A18" s="373"/>
      <c r="B18" s="374"/>
      <c r="C18" s="375">
        <v>90</v>
      </c>
      <c r="D18" s="381">
        <f t="shared" si="0"/>
        <v>90</v>
      </c>
      <c r="E18" s="377">
        <f>データ貼り付け!H5</f>
        <v>34.329000000000001</v>
      </c>
      <c r="F18" s="377">
        <f>データ貼り付け!H26</f>
        <v>34.326000000000001</v>
      </c>
      <c r="G18" s="382" t="s">
        <v>424</v>
      </c>
      <c r="H18" s="383">
        <f t="shared" si="1"/>
        <v>34.327500000000001</v>
      </c>
      <c r="I18" s="384" t="e">
        <f t="shared" si="2"/>
        <v>#VALUE!</v>
      </c>
      <c r="J18" s="380">
        <f>H18/$H$21</f>
        <v>0.94510138623129547</v>
      </c>
    </row>
    <row r="19" spans="1:12" ht="14.25">
      <c r="A19" s="373"/>
      <c r="B19" s="374"/>
      <c r="C19" s="375">
        <v>120</v>
      </c>
      <c r="D19" s="381">
        <f>C19*$D$7</f>
        <v>120</v>
      </c>
      <c r="E19" s="377">
        <f>データ貼り付け!H6</f>
        <v>35.085000000000001</v>
      </c>
      <c r="F19" s="377">
        <f>データ貼り付け!H27</f>
        <v>35.076999999999998</v>
      </c>
      <c r="G19" s="382" t="s">
        <v>424</v>
      </c>
      <c r="H19" s="383">
        <f t="shared" si="1"/>
        <v>35.081000000000003</v>
      </c>
      <c r="I19" s="384" t="e">
        <f t="shared" si="2"/>
        <v>#VALUE!</v>
      </c>
      <c r="J19" s="380">
        <f>H19/$H$21</f>
        <v>0.96584667483446451</v>
      </c>
    </row>
    <row r="20" spans="1:12" ht="14.25">
      <c r="A20" s="373"/>
      <c r="B20" s="374"/>
      <c r="C20" s="375">
        <v>150</v>
      </c>
      <c r="D20" s="381">
        <f t="shared" si="0"/>
        <v>150</v>
      </c>
      <c r="E20" s="377">
        <f>データ貼り付け!H7</f>
        <v>35.783000000000001</v>
      </c>
      <c r="F20" s="377">
        <f>データ貼り付け!H28</f>
        <v>35.768999999999998</v>
      </c>
      <c r="G20" s="382" t="s">
        <v>424</v>
      </c>
      <c r="H20" s="383">
        <f t="shared" si="1"/>
        <v>35.775999999999996</v>
      </c>
      <c r="I20" s="384" t="e">
        <f t="shared" si="2"/>
        <v>#VALUE!</v>
      </c>
      <c r="J20" s="380">
        <f t="shared" si="3"/>
        <v>0.98498134713599372</v>
      </c>
    </row>
    <row r="21" spans="1:12" ht="15">
      <c r="A21" s="373"/>
      <c r="B21" s="374"/>
      <c r="C21" s="385">
        <v>175</v>
      </c>
      <c r="D21" s="386">
        <f>C21*$D$7</f>
        <v>175</v>
      </c>
      <c r="E21" s="377">
        <f>データ貼り付け!H8</f>
        <v>36.332000000000001</v>
      </c>
      <c r="F21" s="377">
        <f>データ貼り付け!H29</f>
        <v>36.311</v>
      </c>
      <c r="G21" s="387" t="s">
        <v>424</v>
      </c>
      <c r="H21" s="388">
        <f t="shared" si="1"/>
        <v>36.3215</v>
      </c>
      <c r="I21" s="389" t="e">
        <f>H21*$I$13</f>
        <v>#VALUE!</v>
      </c>
      <c r="J21" s="390">
        <f t="shared" si="3"/>
        <v>1</v>
      </c>
    </row>
    <row r="22" spans="1:12" ht="14.25">
      <c r="A22" s="373"/>
      <c r="B22" s="374"/>
      <c r="C22" s="375">
        <v>210</v>
      </c>
      <c r="D22" s="381">
        <f>C22*$D$7</f>
        <v>210</v>
      </c>
      <c r="E22" s="377">
        <f>データ貼り付け!H9</f>
        <v>37.054000000000002</v>
      </c>
      <c r="F22" s="377">
        <f>データ貼り付け!H30</f>
        <v>37.027999999999999</v>
      </c>
      <c r="G22" s="382" t="s">
        <v>424</v>
      </c>
      <c r="H22" s="383">
        <f t="shared" si="1"/>
        <v>37.040999999999997</v>
      </c>
      <c r="I22" s="384" t="e">
        <f t="shared" si="2"/>
        <v>#VALUE!</v>
      </c>
      <c r="J22" s="380">
        <f t="shared" si="3"/>
        <v>1.0198092039150364</v>
      </c>
    </row>
    <row r="23" spans="1:12" ht="14.25">
      <c r="A23" s="373"/>
      <c r="B23" s="374"/>
      <c r="C23" s="375">
        <v>240</v>
      </c>
      <c r="D23" s="381">
        <f t="shared" si="0"/>
        <v>240</v>
      </c>
      <c r="E23" s="377">
        <f>データ貼り付け!H10</f>
        <v>37.646000000000001</v>
      </c>
      <c r="F23" s="377">
        <f>データ貼り付け!H31</f>
        <v>37.612000000000002</v>
      </c>
      <c r="G23" s="391" t="s">
        <v>424</v>
      </c>
      <c r="H23" s="383">
        <f t="shared" si="1"/>
        <v>37.629000000000005</v>
      </c>
      <c r="I23" s="384" t="e">
        <f t="shared" si="2"/>
        <v>#VALUE!</v>
      </c>
      <c r="J23" s="380">
        <f t="shared" si="3"/>
        <v>1.0359979626392084</v>
      </c>
    </row>
    <row r="24" spans="1:12" ht="14.25">
      <c r="A24" s="373"/>
      <c r="B24" s="374"/>
      <c r="C24" s="375">
        <v>270</v>
      </c>
      <c r="D24" s="381">
        <f t="shared" si="0"/>
        <v>270</v>
      </c>
      <c r="E24" s="377">
        <f>データ貼り付け!H11</f>
        <v>38.206000000000003</v>
      </c>
      <c r="F24" s="377">
        <f>データ貼り付け!H32</f>
        <v>38.167000000000002</v>
      </c>
      <c r="G24" s="382" t="s">
        <v>424</v>
      </c>
      <c r="H24" s="383">
        <f t="shared" si="1"/>
        <v>38.186500000000002</v>
      </c>
      <c r="I24" s="384" t="e">
        <f t="shared" si="2"/>
        <v>#VALUE!</v>
      </c>
      <c r="J24" s="380">
        <f t="shared" si="3"/>
        <v>1.05134699833432</v>
      </c>
    </row>
    <row r="25" spans="1:12" ht="14.25">
      <c r="A25" s="373"/>
      <c r="B25" s="374"/>
      <c r="C25" s="375">
        <v>300</v>
      </c>
      <c r="D25" s="381">
        <f t="shared" si="0"/>
        <v>300</v>
      </c>
      <c r="E25" s="377">
        <f>データ貼り付け!H12</f>
        <v>38.753999999999998</v>
      </c>
      <c r="F25" s="377">
        <f>データ貼り付け!H33</f>
        <v>38.706000000000003</v>
      </c>
      <c r="G25" s="382" t="s">
        <v>424</v>
      </c>
      <c r="H25" s="383">
        <f t="shared" si="1"/>
        <v>38.730000000000004</v>
      </c>
      <c r="I25" s="384" t="e">
        <f t="shared" si="2"/>
        <v>#VALUE!</v>
      </c>
      <c r="J25" s="380">
        <f t="shared" si="3"/>
        <v>1.066310587393142</v>
      </c>
    </row>
    <row r="26" spans="1:12" ht="14.25">
      <c r="A26" s="373"/>
      <c r="B26" s="374"/>
      <c r="C26" s="375">
        <v>350</v>
      </c>
      <c r="D26" s="381">
        <f>C26*$D$7</f>
        <v>350</v>
      </c>
      <c r="E26" s="377">
        <f>データ貼り付け!H13</f>
        <v>39.627000000000002</v>
      </c>
      <c r="F26" s="377">
        <f>データ貼り付け!H34</f>
        <v>39.566000000000003</v>
      </c>
      <c r="G26" s="382" t="s">
        <v>424</v>
      </c>
      <c r="H26" s="383">
        <f>AVERAGE(E26:G26)</f>
        <v>39.596500000000006</v>
      </c>
      <c r="I26" s="384" t="e">
        <f>H26*$I$13</f>
        <v>#VALUE!</v>
      </c>
      <c r="J26" s="380">
        <f>H26/$H$21</f>
        <v>1.0901669809892214</v>
      </c>
    </row>
    <row r="27" spans="1:12" ht="14.25">
      <c r="A27" s="373"/>
      <c r="B27" s="374"/>
      <c r="C27" s="375">
        <v>400</v>
      </c>
      <c r="D27" s="381">
        <f>C27*$D$7</f>
        <v>400</v>
      </c>
      <c r="E27" s="377">
        <f>データ貼り付け!H14</f>
        <v>40.447000000000003</v>
      </c>
      <c r="F27" s="377">
        <f>データ貼り付け!H35</f>
        <v>40.368000000000002</v>
      </c>
      <c r="G27" s="382" t="s">
        <v>424</v>
      </c>
      <c r="H27" s="383">
        <f>AVERAGE(E27:G27)</f>
        <v>40.407499999999999</v>
      </c>
      <c r="I27" s="384" t="e">
        <f>H27*$I$13</f>
        <v>#VALUE!</v>
      </c>
      <c r="J27" s="380">
        <f>H27/$H$21</f>
        <v>1.1124953539914375</v>
      </c>
    </row>
    <row r="28" spans="1:12">
      <c r="C28" s="392"/>
      <c r="E28" s="393"/>
      <c r="F28" s="393"/>
      <c r="G28" s="393"/>
      <c r="I28" s="358" t="e">
        <f>$K$30/J36</f>
        <v>#VALUE!</v>
      </c>
      <c r="J28" s="345" t="s">
        <v>450</v>
      </c>
    </row>
    <row r="29" spans="1:12">
      <c r="A29" s="359" t="s">
        <v>435</v>
      </c>
      <c r="B29" s="360" t="s">
        <v>436</v>
      </c>
      <c r="C29" s="394" t="s">
        <v>451</v>
      </c>
      <c r="D29" s="362"/>
      <c r="E29" s="395" t="s">
        <v>452</v>
      </c>
      <c r="F29" s="396"/>
      <c r="G29" s="396"/>
      <c r="H29" s="396"/>
      <c r="I29" s="396"/>
      <c r="J29" s="364"/>
      <c r="K29" s="360" t="s">
        <v>439</v>
      </c>
      <c r="L29" s="365" t="s">
        <v>453</v>
      </c>
    </row>
    <row r="30" spans="1:12" ht="15" thickBot="1">
      <c r="A30" s="366" t="s">
        <v>441</v>
      </c>
      <c r="B30" s="367" t="s">
        <v>442</v>
      </c>
      <c r="C30" s="397" t="s">
        <v>36</v>
      </c>
      <c r="D30" s="368" t="s">
        <v>37</v>
      </c>
      <c r="E30" s="369" t="str">
        <f>E15</f>
        <v>No.1</v>
      </c>
      <c r="F30" s="369"/>
      <c r="G30" s="369" t="str">
        <f>F15</f>
        <v>No.2</v>
      </c>
      <c r="H30" s="369"/>
      <c r="I30" s="369" t="str">
        <f>G15</f>
        <v>No.**</v>
      </c>
      <c r="J30" s="370" t="s">
        <v>454</v>
      </c>
      <c r="K30" s="371" t="s">
        <v>448</v>
      </c>
      <c r="L30" s="372" t="s">
        <v>455</v>
      </c>
    </row>
    <row r="31" spans="1:12" ht="15" thickTop="1">
      <c r="A31" s="373">
        <f t="shared" ref="A31:C42" si="4">A16</f>
        <v>0</v>
      </c>
      <c r="B31" s="374">
        <f t="shared" si="4"/>
        <v>0</v>
      </c>
      <c r="C31" s="375">
        <f t="shared" si="4"/>
        <v>30</v>
      </c>
      <c r="D31" s="376">
        <f>C31*$D$7</f>
        <v>30</v>
      </c>
      <c r="E31" s="377">
        <f>データ貼り付け!D3</f>
        <v>136.77803725551601</v>
      </c>
      <c r="F31" s="398">
        <f>E31/$E$36</f>
        <v>0.19412549104382598</v>
      </c>
      <c r="G31" s="377">
        <f>データ貼り付け!D24</f>
        <v>137.07976957245199</v>
      </c>
      <c r="H31" s="398">
        <f>G31/$G$36</f>
        <v>0.19525389602999085</v>
      </c>
      <c r="I31" s="377" t="s">
        <v>424</v>
      </c>
      <c r="J31" s="378">
        <f t="shared" ref="J31:J40" si="5">AVERAGE(E31:I31)</f>
        <v>68.561796553760459</v>
      </c>
      <c r="K31" s="379" t="e">
        <f t="shared" ref="K31:K40" si="6">J31*$I$28</f>
        <v>#VALUE!</v>
      </c>
      <c r="L31" s="380">
        <f>J31/$J$36</f>
        <v>0.19468868156718924</v>
      </c>
    </row>
    <row r="32" spans="1:12" ht="14.25">
      <c r="A32" s="399">
        <f t="shared" si="4"/>
        <v>0</v>
      </c>
      <c r="B32" s="400">
        <f t="shared" si="4"/>
        <v>0</v>
      </c>
      <c r="C32" s="375">
        <f t="shared" si="4"/>
        <v>60</v>
      </c>
      <c r="D32" s="376">
        <f t="shared" ref="D32:D40" si="7">C32*$D$7</f>
        <v>60</v>
      </c>
      <c r="E32" s="377">
        <f>データ貼り付け!D4</f>
        <v>267.30622472612998</v>
      </c>
      <c r="F32" s="401">
        <f t="shared" ref="F32:F42" si="8">E32/$E$36</f>
        <v>0.37938073374377668</v>
      </c>
      <c r="G32" s="377">
        <f>データ貼り付け!D25</f>
        <v>267.25967977113697</v>
      </c>
      <c r="H32" s="401">
        <f t="shared" ref="H32:H41" si="9">G32/$G$36</f>
        <v>0.38067975960129713</v>
      </c>
      <c r="I32" s="382" t="s">
        <v>424</v>
      </c>
      <c r="J32" s="383">
        <f t="shared" si="5"/>
        <v>133.83149124765302</v>
      </c>
      <c r="K32" s="384" t="e">
        <f t="shared" si="6"/>
        <v>#VALUE!</v>
      </c>
      <c r="L32" s="402">
        <f>J32/$J$36</f>
        <v>0.3800290816875817</v>
      </c>
    </row>
    <row r="33" spans="1:14" ht="14.25">
      <c r="A33" s="399">
        <f t="shared" si="4"/>
        <v>0</v>
      </c>
      <c r="B33" s="400">
        <f t="shared" si="4"/>
        <v>0</v>
      </c>
      <c r="C33" s="375">
        <f t="shared" si="4"/>
        <v>90</v>
      </c>
      <c r="D33" s="376">
        <f t="shared" si="7"/>
        <v>90</v>
      </c>
      <c r="E33" s="377">
        <f>データ貼り付け!D5</f>
        <v>390.22746442721598</v>
      </c>
      <c r="F33" s="401">
        <f t="shared" si="8"/>
        <v>0.55383963442321915</v>
      </c>
      <c r="G33" s="377">
        <f>データ貼り付け!D26</f>
        <v>389.81783397358203</v>
      </c>
      <c r="H33" s="401">
        <f t="shared" si="9"/>
        <v>0.55524933447663183</v>
      </c>
      <c r="I33" s="382" t="s">
        <v>424</v>
      </c>
      <c r="J33" s="383">
        <f t="shared" si="5"/>
        <v>195.28859684242448</v>
      </c>
      <c r="K33" s="384" t="e">
        <f t="shared" si="6"/>
        <v>#VALUE!</v>
      </c>
      <c r="L33" s="402">
        <f>J33/$J$36</f>
        <v>0.55454322021076963</v>
      </c>
    </row>
    <row r="34" spans="1:14" ht="14.25">
      <c r="A34" s="399">
        <f t="shared" si="4"/>
        <v>0</v>
      </c>
      <c r="B34" s="400">
        <f t="shared" si="4"/>
        <v>0</v>
      </c>
      <c r="C34" s="375">
        <f t="shared" si="4"/>
        <v>120</v>
      </c>
      <c r="D34" s="376">
        <f t="shared" si="7"/>
        <v>120</v>
      </c>
      <c r="E34" s="377">
        <f>データ貼り付け!D6</f>
        <v>506.72858533662202</v>
      </c>
      <c r="F34" s="401">
        <f t="shared" si="8"/>
        <v>0.71918662841060754</v>
      </c>
      <c r="G34" s="377">
        <f>データ貼り付け!D27</f>
        <v>505.62242807598801</v>
      </c>
      <c r="H34" s="401">
        <f t="shared" si="9"/>
        <v>0.72019926288102354</v>
      </c>
      <c r="I34" s="382" t="s">
        <v>424</v>
      </c>
      <c r="J34" s="383">
        <f t="shared" si="5"/>
        <v>253.4475998259754</v>
      </c>
      <c r="K34" s="384" t="e">
        <f t="shared" si="6"/>
        <v>#VALUE!</v>
      </c>
      <c r="L34" s="402">
        <f>J34/$J$36</f>
        <v>0.7196920375007495</v>
      </c>
      <c r="M34" s="403"/>
      <c r="N34" s="404"/>
    </row>
    <row r="35" spans="1:14" ht="14.25">
      <c r="A35" s="399">
        <f t="shared" si="4"/>
        <v>0</v>
      </c>
      <c r="B35" s="400">
        <f t="shared" si="4"/>
        <v>0</v>
      </c>
      <c r="C35" s="375">
        <f t="shared" si="4"/>
        <v>150</v>
      </c>
      <c r="D35" s="376">
        <f t="shared" si="7"/>
        <v>150</v>
      </c>
      <c r="E35" s="377">
        <f>データ貼り付け!D7</f>
        <v>616.96873433910298</v>
      </c>
      <c r="F35" s="401">
        <f t="shared" si="8"/>
        <v>0.87564758871721649</v>
      </c>
      <c r="G35" s="377">
        <f>データ貼り付け!D28</f>
        <v>615.37816752149604</v>
      </c>
      <c r="H35" s="401">
        <f t="shared" si="9"/>
        <v>0.87653331425292402</v>
      </c>
      <c r="I35" s="382" t="s">
        <v>424</v>
      </c>
      <c r="J35" s="383">
        <f t="shared" si="5"/>
        <v>308.5247706908923</v>
      </c>
      <c r="K35" s="384" t="e">
        <f t="shared" si="6"/>
        <v>#VALUE!</v>
      </c>
      <c r="L35" s="402">
        <f t="shared" ref="L35:L40" si="10">J35/$J$36</f>
        <v>0.87608965715375064</v>
      </c>
    </row>
    <row r="36" spans="1:14" ht="15">
      <c r="A36" s="405">
        <f t="shared" si="4"/>
        <v>0</v>
      </c>
      <c r="B36" s="406">
        <f t="shared" si="4"/>
        <v>0</v>
      </c>
      <c r="C36" s="385">
        <f t="shared" si="4"/>
        <v>175</v>
      </c>
      <c r="D36" s="407">
        <f t="shared" si="7"/>
        <v>175</v>
      </c>
      <c r="E36" s="377">
        <f>データ貼り付け!D8</f>
        <v>704.58566013175903</v>
      </c>
      <c r="F36" s="408">
        <f t="shared" si="8"/>
        <v>1</v>
      </c>
      <c r="G36" s="377">
        <f>データ貼り付け!D29</f>
        <v>702.05907466961196</v>
      </c>
      <c r="H36" s="408">
        <f t="shared" si="9"/>
        <v>1</v>
      </c>
      <c r="I36" s="387" t="s">
        <v>424</v>
      </c>
      <c r="J36" s="388">
        <f t="shared" si="5"/>
        <v>352.16118370034275</v>
      </c>
      <c r="K36" s="389" t="e">
        <f t="shared" si="6"/>
        <v>#VALUE!</v>
      </c>
      <c r="L36" s="409">
        <f t="shared" si="10"/>
        <v>1</v>
      </c>
    </row>
    <row r="37" spans="1:14" ht="14.25">
      <c r="A37" s="399">
        <f t="shared" si="4"/>
        <v>0</v>
      </c>
      <c r="B37" s="400">
        <f t="shared" si="4"/>
        <v>0</v>
      </c>
      <c r="C37" s="375">
        <f t="shared" si="4"/>
        <v>210</v>
      </c>
      <c r="D37" s="376">
        <f t="shared" si="7"/>
        <v>210</v>
      </c>
      <c r="E37" s="377">
        <f>データ貼り付け!D9</f>
        <v>820.64569240258902</v>
      </c>
      <c r="F37" s="401">
        <f t="shared" si="8"/>
        <v>1.1647209684186965</v>
      </c>
      <c r="G37" s="377">
        <f>データ貼り付け!D30</f>
        <v>817.48666904093795</v>
      </c>
      <c r="H37" s="401">
        <f t="shared" si="9"/>
        <v>1.164412936939311</v>
      </c>
      <c r="I37" s="382" t="s">
        <v>424</v>
      </c>
      <c r="J37" s="383">
        <f t="shared" si="5"/>
        <v>410.11537383722123</v>
      </c>
      <c r="K37" s="384" t="e">
        <f t="shared" si="6"/>
        <v>#VALUE!</v>
      </c>
      <c r="L37" s="402">
        <f>J37/$J$36</f>
        <v>1.1645672289260369</v>
      </c>
    </row>
    <row r="38" spans="1:14" ht="14.25">
      <c r="A38" s="410">
        <f t="shared" si="4"/>
        <v>0</v>
      </c>
      <c r="B38" s="411">
        <f t="shared" si="4"/>
        <v>0</v>
      </c>
      <c r="C38" s="375">
        <f t="shared" si="4"/>
        <v>240</v>
      </c>
      <c r="D38" s="376">
        <f t="shared" si="7"/>
        <v>240</v>
      </c>
      <c r="E38" s="377">
        <f>データ貼り付け!D10</f>
        <v>915.46990899674995</v>
      </c>
      <c r="F38" s="412">
        <f t="shared" si="8"/>
        <v>1.2993024990397266</v>
      </c>
      <c r="G38" s="377">
        <f>データ貼り付け!D31</f>
        <v>911.03928829640302</v>
      </c>
      <c r="H38" s="412">
        <f t="shared" si="9"/>
        <v>1.2976675626978211</v>
      </c>
      <c r="I38" s="391" t="s">
        <v>424</v>
      </c>
      <c r="J38" s="383">
        <f t="shared" si="5"/>
        <v>457.27654183872266</v>
      </c>
      <c r="K38" s="384" t="e">
        <f t="shared" si="6"/>
        <v>#VALUE!</v>
      </c>
      <c r="L38" s="402">
        <f t="shared" si="10"/>
        <v>1.2984864971030525</v>
      </c>
    </row>
    <row r="39" spans="1:14" ht="14.25">
      <c r="A39" s="399">
        <f t="shared" si="4"/>
        <v>0</v>
      </c>
      <c r="B39" s="400">
        <f t="shared" si="4"/>
        <v>0</v>
      </c>
      <c r="C39" s="375">
        <f t="shared" si="4"/>
        <v>270</v>
      </c>
      <c r="D39" s="376">
        <f t="shared" si="7"/>
        <v>270</v>
      </c>
      <c r="E39" s="377">
        <f>データ貼り付け!D11</f>
        <v>1004.27186135326</v>
      </c>
      <c r="F39" s="401">
        <f t="shared" si="8"/>
        <v>1.4253367875319218</v>
      </c>
      <c r="G39" s="377">
        <f>データ貼り付け!D32</f>
        <v>999.16141075116695</v>
      </c>
      <c r="H39" s="401">
        <f t="shared" si="9"/>
        <v>1.4231870889516967</v>
      </c>
      <c r="I39" s="382" t="s">
        <v>424</v>
      </c>
      <c r="J39" s="383">
        <f t="shared" si="5"/>
        <v>501.57044899522759</v>
      </c>
      <c r="K39" s="384" t="e">
        <f t="shared" si="6"/>
        <v>#VALUE!</v>
      </c>
      <c r="L39" s="402">
        <f t="shared" si="10"/>
        <v>1.4242638661222202</v>
      </c>
    </row>
    <row r="40" spans="1:14" ht="14.25">
      <c r="A40" s="399">
        <f t="shared" si="4"/>
        <v>0</v>
      </c>
      <c r="B40" s="400">
        <f t="shared" si="4"/>
        <v>0</v>
      </c>
      <c r="C40" s="375">
        <f t="shared" si="4"/>
        <v>300</v>
      </c>
      <c r="D40" s="376">
        <f t="shared" si="7"/>
        <v>300</v>
      </c>
      <c r="E40" s="377">
        <f>データ貼り付け!D12</f>
        <v>1090.2780986549601</v>
      </c>
      <c r="F40" s="401">
        <f t="shared" si="8"/>
        <v>1.5474031907647336</v>
      </c>
      <c r="G40" s="377">
        <f>データ貼り付け!D33</f>
        <v>1083.4122619376001</v>
      </c>
      <c r="H40" s="401">
        <f t="shared" si="9"/>
        <v>1.5431924477971493</v>
      </c>
      <c r="I40" s="382" t="s">
        <v>424</v>
      </c>
      <c r="J40" s="383">
        <f t="shared" si="5"/>
        <v>544.19523905778055</v>
      </c>
      <c r="K40" s="384" t="e">
        <f t="shared" si="6"/>
        <v>#VALUE!</v>
      </c>
      <c r="L40" s="402">
        <f t="shared" si="10"/>
        <v>1.5453015955354166</v>
      </c>
    </row>
    <row r="41" spans="1:14" ht="14.25">
      <c r="A41" s="399">
        <f t="shared" si="4"/>
        <v>0</v>
      </c>
      <c r="B41" s="400">
        <f t="shared" si="4"/>
        <v>0</v>
      </c>
      <c r="C41" s="375">
        <f t="shared" si="4"/>
        <v>350</v>
      </c>
      <c r="D41" s="376">
        <f>C41*$D$7</f>
        <v>350</v>
      </c>
      <c r="E41" s="377">
        <f>データ貼り付け!D13</f>
        <v>1224.22510475287</v>
      </c>
      <c r="F41" s="401">
        <f t="shared" si="8"/>
        <v>1.7375106733281194</v>
      </c>
      <c r="G41" s="377">
        <f>データ貼り付け!D34</f>
        <v>1213.8067711127601</v>
      </c>
      <c r="H41" s="401">
        <f t="shared" si="9"/>
        <v>1.7289239821933444</v>
      </c>
      <c r="I41" s="382" t="s">
        <v>424</v>
      </c>
      <c r="J41" s="383">
        <f>AVERAGE(E41:I41)</f>
        <v>610.37457763028794</v>
      </c>
      <c r="K41" s="384" t="e">
        <f>J41*$I$28</f>
        <v>#VALUE!</v>
      </c>
      <c r="L41" s="402">
        <f>J41/$J$36</f>
        <v>1.7332250284280661</v>
      </c>
    </row>
    <row r="42" spans="1:14" ht="14.25">
      <c r="A42" s="399">
        <f t="shared" si="4"/>
        <v>0</v>
      </c>
      <c r="B42" s="400">
        <f t="shared" si="4"/>
        <v>0</v>
      </c>
      <c r="C42" s="375">
        <f t="shared" si="4"/>
        <v>400</v>
      </c>
      <c r="D42" s="376">
        <f>C42*$D$7</f>
        <v>400</v>
      </c>
      <c r="E42" s="377">
        <f>データ貼り付け!D14</f>
        <v>1344.9225888937899</v>
      </c>
      <c r="F42" s="401">
        <f t="shared" si="8"/>
        <v>1.9088134559001477</v>
      </c>
      <c r="G42" s="377">
        <f>データ貼り付け!D35</f>
        <v>1328.90945113199</v>
      </c>
      <c r="H42" s="401">
        <f>G42/$G$36</f>
        <v>1.8928741171209458</v>
      </c>
      <c r="I42" s="382" t="s">
        <v>424</v>
      </c>
      <c r="J42" s="383">
        <f>AVERAGE(E42:I42)</f>
        <v>669.40843189970019</v>
      </c>
      <c r="K42" s="384" t="e">
        <f>J42*$I$28</f>
        <v>#VALUE!</v>
      </c>
      <c r="L42" s="402">
        <f>J42/$J$36</f>
        <v>1.9008580811373752</v>
      </c>
    </row>
    <row r="43" spans="1:14">
      <c r="C43" s="392"/>
    </row>
    <row r="44" spans="1:14">
      <c r="A44" s="359" t="s">
        <v>435</v>
      </c>
      <c r="B44" s="360" t="s">
        <v>436</v>
      </c>
      <c r="C44" s="394" t="s">
        <v>456</v>
      </c>
      <c r="D44" s="362"/>
      <c r="E44" s="363" t="str">
        <f>$E$15</f>
        <v>No.1</v>
      </c>
      <c r="F44" s="364"/>
      <c r="G44" s="363" t="str">
        <f>$F$15</f>
        <v>No.2</v>
      </c>
      <c r="H44" s="364"/>
      <c r="I44" s="363" t="str">
        <f>$G$15</f>
        <v>No.**</v>
      </c>
      <c r="J44" s="364"/>
      <c r="K44" s="363" t="s">
        <v>454</v>
      </c>
      <c r="L44" s="364"/>
      <c r="M44" s="363"/>
      <c r="N44" s="364"/>
    </row>
    <row r="45" spans="1:14" ht="15" thickBot="1">
      <c r="A45" s="366" t="s">
        <v>441</v>
      </c>
      <c r="B45" s="367" t="s">
        <v>442</v>
      </c>
      <c r="C45" s="397" t="s">
        <v>36</v>
      </c>
      <c r="D45" s="368" t="s">
        <v>457</v>
      </c>
      <c r="E45" s="366" t="s">
        <v>458</v>
      </c>
      <c r="F45" s="366" t="s">
        <v>459</v>
      </c>
      <c r="G45" s="366" t="s">
        <v>458</v>
      </c>
      <c r="H45" s="366" t="s">
        <v>459</v>
      </c>
      <c r="I45" s="366" t="s">
        <v>458</v>
      </c>
      <c r="J45" s="366" t="s">
        <v>459</v>
      </c>
      <c r="K45" s="366" t="s">
        <v>460</v>
      </c>
      <c r="L45" s="366" t="s">
        <v>459</v>
      </c>
      <c r="M45" s="366" t="s">
        <v>461</v>
      </c>
      <c r="N45" s="366" t="s">
        <v>462</v>
      </c>
    </row>
    <row r="46" spans="1:14" ht="15" thickTop="1">
      <c r="A46" s="373">
        <f t="shared" ref="A46:C57" si="11">A16</f>
        <v>0</v>
      </c>
      <c r="B46" s="374">
        <f t="shared" si="11"/>
        <v>0</v>
      </c>
      <c r="C46" s="375">
        <f t="shared" si="11"/>
        <v>30</v>
      </c>
      <c r="D46" s="376">
        <f t="shared" ref="D46:D55" si="12">C46*$D$7</f>
        <v>30</v>
      </c>
      <c r="E46" s="413">
        <f>データ貼り付け!S3</f>
        <v>0.43873128436225101</v>
      </c>
      <c r="F46" s="413">
        <f>データ貼り付け!T3</f>
        <v>0.40499136414356901</v>
      </c>
      <c r="G46" s="413">
        <f>データ貼り付け!S24</f>
        <v>0.43959595857099298</v>
      </c>
      <c r="H46" s="413">
        <f>データ貼り付け!T24</f>
        <v>0.405489240877559</v>
      </c>
      <c r="I46" s="414" t="s">
        <v>424</v>
      </c>
      <c r="J46" s="414" t="s">
        <v>424</v>
      </c>
      <c r="K46" s="415">
        <f>AVERAGE(E46,G46,I46)</f>
        <v>0.43916362146662202</v>
      </c>
      <c r="L46" s="415">
        <f t="shared" ref="L46:L54" si="13">AVERAGE(F46,H46,J46)</f>
        <v>0.40524030251056398</v>
      </c>
      <c r="M46" s="415">
        <f>K46-$K$51</f>
        <v>4.3476078268885332E-3</v>
      </c>
      <c r="N46" s="415">
        <f t="shared" ref="N46:N55" si="14">L46-$L$51</f>
        <v>-3.8806683694547761E-4</v>
      </c>
    </row>
    <row r="47" spans="1:14" ht="14.25">
      <c r="A47" s="399">
        <f t="shared" si="11"/>
        <v>0</v>
      </c>
      <c r="B47" s="400">
        <f t="shared" si="11"/>
        <v>0</v>
      </c>
      <c r="C47" s="375">
        <f t="shared" si="11"/>
        <v>60</v>
      </c>
      <c r="D47" s="376">
        <f t="shared" si="12"/>
        <v>60</v>
      </c>
      <c r="E47" s="413">
        <f>データ貼り付け!S4</f>
        <v>0.43788051859988603</v>
      </c>
      <c r="F47" s="413">
        <f>データ貼り付け!T4</f>
        <v>0.40525050156234099</v>
      </c>
      <c r="G47" s="413">
        <f>データ貼り付け!S25</f>
        <v>0.43822235525430397</v>
      </c>
      <c r="H47" s="413">
        <f>データ貼り付け!T25</f>
        <v>0.40566352917998399</v>
      </c>
      <c r="I47" s="414" t="s">
        <v>424</v>
      </c>
      <c r="J47" s="414" t="s">
        <v>424</v>
      </c>
      <c r="K47" s="416">
        <f t="shared" ref="K47:K55" si="15">AVERAGE(E47,G47,I47)</f>
        <v>0.43805143692709503</v>
      </c>
      <c r="L47" s="416">
        <f t="shared" si="13"/>
        <v>0.40545701537116252</v>
      </c>
      <c r="M47" s="416">
        <f t="shared" ref="M47:M55" si="16">K47-$K$51</f>
        <v>3.2354232873615385E-3</v>
      </c>
      <c r="N47" s="416">
        <f t="shared" si="14"/>
        <v>-1.7135397634693295E-4</v>
      </c>
    </row>
    <row r="48" spans="1:14" ht="14.25">
      <c r="A48" s="399">
        <f t="shared" ref="A48:B50" si="17">A20</f>
        <v>0</v>
      </c>
      <c r="B48" s="400">
        <f t="shared" si="17"/>
        <v>0</v>
      </c>
      <c r="C48" s="375">
        <f t="shared" si="11"/>
        <v>90</v>
      </c>
      <c r="D48" s="376">
        <f t="shared" si="12"/>
        <v>90</v>
      </c>
      <c r="E48" s="413">
        <f>データ貼り付け!S5</f>
        <v>0.43696388635054301</v>
      </c>
      <c r="F48" s="413">
        <f>データ貼り付け!T5</f>
        <v>0.40541436324673502</v>
      </c>
      <c r="G48" s="413">
        <f>データ貼り付け!S26</f>
        <v>0.43730565364194601</v>
      </c>
      <c r="H48" s="413">
        <f>データ貼り付け!T26</f>
        <v>0.405818667499658</v>
      </c>
      <c r="I48" s="414" t="s">
        <v>424</v>
      </c>
      <c r="J48" s="414" t="s">
        <v>424</v>
      </c>
      <c r="K48" s="416">
        <f t="shared" si="15"/>
        <v>0.43713476999624451</v>
      </c>
      <c r="L48" s="416">
        <f t="shared" si="13"/>
        <v>0.40561651537319654</v>
      </c>
      <c r="M48" s="416">
        <f t="shared" si="16"/>
        <v>2.3187563565110203E-3</v>
      </c>
      <c r="N48" s="416">
        <f t="shared" si="14"/>
        <v>-1.1853974312914239E-5</v>
      </c>
    </row>
    <row r="49" spans="1:14" ht="14.25">
      <c r="A49" s="399">
        <f t="shared" si="17"/>
        <v>0</v>
      </c>
      <c r="B49" s="400">
        <f t="shared" si="17"/>
        <v>0</v>
      </c>
      <c r="C49" s="375">
        <f t="shared" si="11"/>
        <v>120</v>
      </c>
      <c r="D49" s="376">
        <f t="shared" si="12"/>
        <v>120</v>
      </c>
      <c r="E49" s="413">
        <f>データ貼り付け!S6</f>
        <v>0.43609861830291902</v>
      </c>
      <c r="F49" s="413">
        <f>データ貼り付け!T6</f>
        <v>0.40535354006423802</v>
      </c>
      <c r="G49" s="413">
        <f>データ貼り付け!S27</f>
        <v>0.43641004378242898</v>
      </c>
      <c r="H49" s="413">
        <f>データ貼り付け!T27</f>
        <v>0.40587755135569498</v>
      </c>
      <c r="I49" s="414" t="s">
        <v>424</v>
      </c>
      <c r="J49" s="414" t="s">
        <v>424</v>
      </c>
      <c r="K49" s="416">
        <f>AVERAGE(E49,G49,I49)</f>
        <v>0.43625433104267397</v>
      </c>
      <c r="L49" s="416">
        <f>AVERAGE(F49,H49,J49)</f>
        <v>0.4056155457099665</v>
      </c>
      <c r="M49" s="416">
        <f t="shared" si="16"/>
        <v>1.438317402940481E-3</v>
      </c>
      <c r="N49" s="416">
        <f t="shared" si="14"/>
        <v>-1.2823637542958011E-5</v>
      </c>
    </row>
    <row r="50" spans="1:14" ht="14.25">
      <c r="A50" s="399">
        <f t="shared" si="17"/>
        <v>0</v>
      </c>
      <c r="B50" s="400">
        <f t="shared" si="17"/>
        <v>0</v>
      </c>
      <c r="C50" s="375">
        <f t="shared" si="11"/>
        <v>150</v>
      </c>
      <c r="D50" s="376">
        <f t="shared" si="12"/>
        <v>150</v>
      </c>
      <c r="E50" s="413">
        <f>データ貼り付け!S7</f>
        <v>0.435299683222586</v>
      </c>
      <c r="F50" s="413">
        <f>データ貼り付け!T7</f>
        <v>0.40543140875133998</v>
      </c>
      <c r="G50" s="413">
        <f>データ貼り付け!S28</f>
        <v>0.43561313726908502</v>
      </c>
      <c r="H50" s="413">
        <f>データ貼り付け!T28</f>
        <v>0.40587196397056202</v>
      </c>
      <c r="I50" s="414" t="s">
        <v>424</v>
      </c>
      <c r="J50" s="414" t="s">
        <v>424</v>
      </c>
      <c r="K50" s="416">
        <f>AVERAGE(E50,G50,I50)</f>
        <v>0.43545641024583548</v>
      </c>
      <c r="L50" s="416">
        <f>AVERAGE(F50,H50,J50)</f>
        <v>0.405651686360951</v>
      </c>
      <c r="M50" s="416">
        <f t="shared" si="16"/>
        <v>6.4039660610198945E-4</v>
      </c>
      <c r="N50" s="416">
        <f t="shared" si="14"/>
        <v>2.3317013441548351E-5</v>
      </c>
    </row>
    <row r="51" spans="1:14" ht="15">
      <c r="A51" s="405">
        <f t="shared" ref="A51:B57" si="18">A21</f>
        <v>0</v>
      </c>
      <c r="B51" s="406">
        <f t="shared" si="18"/>
        <v>0</v>
      </c>
      <c r="C51" s="385">
        <f t="shared" si="11"/>
        <v>175</v>
      </c>
      <c r="D51" s="407">
        <f t="shared" si="12"/>
        <v>175</v>
      </c>
      <c r="E51" s="413">
        <f>データ貼り付け!S8</f>
        <v>0.43467890798671599</v>
      </c>
      <c r="F51" s="413">
        <f>データ貼り付け!T8</f>
        <v>0.40539543414955698</v>
      </c>
      <c r="G51" s="413">
        <f>データ貼り付け!S29</f>
        <v>0.43495311929275099</v>
      </c>
      <c r="H51" s="413">
        <f>データ貼り付け!T29</f>
        <v>0.40586130454546199</v>
      </c>
      <c r="I51" s="417" t="s">
        <v>424</v>
      </c>
      <c r="J51" s="417" t="s">
        <v>424</v>
      </c>
      <c r="K51" s="418">
        <f t="shared" si="15"/>
        <v>0.43481601363973349</v>
      </c>
      <c r="L51" s="418">
        <f t="shared" si="13"/>
        <v>0.40562836934750945</v>
      </c>
      <c r="M51" s="418">
        <f t="shared" si="16"/>
        <v>0</v>
      </c>
      <c r="N51" s="418">
        <f t="shared" si="14"/>
        <v>0</v>
      </c>
    </row>
    <row r="52" spans="1:14" ht="14.25">
      <c r="A52" s="399">
        <f t="shared" si="18"/>
        <v>0</v>
      </c>
      <c r="B52" s="400">
        <f t="shared" si="18"/>
        <v>0</v>
      </c>
      <c r="C52" s="375">
        <f t="shared" si="11"/>
        <v>210</v>
      </c>
      <c r="D52" s="376">
        <f t="shared" si="12"/>
        <v>210</v>
      </c>
      <c r="E52" s="413">
        <f>データ貼り付け!S9</f>
        <v>0.43402314154440302</v>
      </c>
      <c r="F52" s="413">
        <f>データ貼り付け!T9</f>
        <v>0.40544605042856202</v>
      </c>
      <c r="G52" s="413">
        <f>データ貼り付け!S30</f>
        <v>0.434186642768701</v>
      </c>
      <c r="H52" s="413">
        <f>データ貼り付け!T30</f>
        <v>0.40587009768447402</v>
      </c>
      <c r="I52" s="414" t="s">
        <v>424</v>
      </c>
      <c r="J52" s="414" t="s">
        <v>424</v>
      </c>
      <c r="K52" s="416">
        <f t="shared" si="15"/>
        <v>0.43410489215655201</v>
      </c>
      <c r="L52" s="416">
        <f t="shared" si="13"/>
        <v>0.40565807405651799</v>
      </c>
      <c r="M52" s="416">
        <f t="shared" si="16"/>
        <v>-7.1112148318147606E-4</v>
      </c>
      <c r="N52" s="416">
        <f t="shared" si="14"/>
        <v>2.9704709008537833E-5</v>
      </c>
    </row>
    <row r="53" spans="1:14" ht="14.25">
      <c r="A53" s="410">
        <f t="shared" si="18"/>
        <v>0</v>
      </c>
      <c r="B53" s="411">
        <f t="shared" si="18"/>
        <v>0</v>
      </c>
      <c r="C53" s="375">
        <f t="shared" si="11"/>
        <v>240</v>
      </c>
      <c r="D53" s="376">
        <f t="shared" si="12"/>
        <v>240</v>
      </c>
      <c r="E53" s="413">
        <f>データ貼り付け!S10</f>
        <v>0.43340438704520701</v>
      </c>
      <c r="F53" s="413">
        <f>データ貼り付け!T10</f>
        <v>0.40540475663636899</v>
      </c>
      <c r="G53" s="413">
        <f>データ貼り付け!S31</f>
        <v>0.43364467003501</v>
      </c>
      <c r="H53" s="413">
        <f>データ貼り付け!T31</f>
        <v>0.405970343018905</v>
      </c>
      <c r="I53" s="414" t="s">
        <v>424</v>
      </c>
      <c r="J53" s="414" t="s">
        <v>424</v>
      </c>
      <c r="K53" s="416">
        <f t="shared" si="15"/>
        <v>0.43352452854010848</v>
      </c>
      <c r="L53" s="416">
        <f t="shared" si="13"/>
        <v>0.405687549827637</v>
      </c>
      <c r="M53" s="416">
        <f t="shared" si="16"/>
        <v>-1.2914850996250116E-3</v>
      </c>
      <c r="N53" s="416">
        <f t="shared" si="14"/>
        <v>5.9180480127540847E-5</v>
      </c>
    </row>
    <row r="54" spans="1:14" ht="14.25">
      <c r="A54" s="399">
        <f t="shared" si="18"/>
        <v>0</v>
      </c>
      <c r="B54" s="400">
        <f t="shared" si="18"/>
        <v>0</v>
      </c>
      <c r="C54" s="375">
        <f t="shared" si="11"/>
        <v>270</v>
      </c>
      <c r="D54" s="376">
        <f t="shared" si="12"/>
        <v>270</v>
      </c>
      <c r="E54" s="413">
        <f>データ貼り付け!S11</f>
        <v>0.43290526725162798</v>
      </c>
      <c r="F54" s="413">
        <f>データ貼り付け!T11</f>
        <v>0.40539298418307501</v>
      </c>
      <c r="G54" s="413">
        <f>データ貼り付け!S32</f>
        <v>0.43304027895972103</v>
      </c>
      <c r="H54" s="413">
        <f>データ貼り付け!T32</f>
        <v>0.40588899833889902</v>
      </c>
      <c r="I54" s="414" t="s">
        <v>424</v>
      </c>
      <c r="J54" s="414" t="s">
        <v>424</v>
      </c>
      <c r="K54" s="416">
        <f>AVERAGE(E54,G54,I54)</f>
        <v>0.4329727731056745</v>
      </c>
      <c r="L54" s="416">
        <f t="shared" si="13"/>
        <v>0.40564099126098702</v>
      </c>
      <c r="M54" s="416">
        <f t="shared" si="16"/>
        <v>-1.8432405340589875E-3</v>
      </c>
      <c r="N54" s="416">
        <f t="shared" si="14"/>
        <v>1.2621913477561808E-5</v>
      </c>
    </row>
    <row r="55" spans="1:14" ht="14.25">
      <c r="A55" s="399">
        <f t="shared" si="18"/>
        <v>0</v>
      </c>
      <c r="B55" s="400">
        <f t="shared" si="18"/>
        <v>0</v>
      </c>
      <c r="C55" s="375">
        <f t="shared" si="11"/>
        <v>300</v>
      </c>
      <c r="D55" s="376">
        <f t="shared" si="12"/>
        <v>300</v>
      </c>
      <c r="E55" s="413">
        <f>データ貼り付け!S12</f>
        <v>0.43238318480419402</v>
      </c>
      <c r="F55" s="413">
        <f>データ貼り付け!T12</f>
        <v>0.40535323807997697</v>
      </c>
      <c r="G55" s="413">
        <f>データ貼り付け!S33</f>
        <v>0.43248632841419898</v>
      </c>
      <c r="H55" s="413">
        <f>データ貼り付け!T33</f>
        <v>0.40577772798386003</v>
      </c>
      <c r="I55" s="414" t="s">
        <v>424</v>
      </c>
      <c r="J55" s="414" t="s">
        <v>424</v>
      </c>
      <c r="K55" s="416">
        <f t="shared" si="15"/>
        <v>0.4324347566091965</v>
      </c>
      <c r="L55" s="416">
        <f>AVERAGE(F55,H55,J55)</f>
        <v>0.40556548303191853</v>
      </c>
      <c r="M55" s="416">
        <f t="shared" si="16"/>
        <v>-2.3812570305369873E-3</v>
      </c>
      <c r="N55" s="416">
        <f t="shared" si="14"/>
        <v>-6.28863155909265E-5</v>
      </c>
    </row>
    <row r="56" spans="1:14" ht="14.25">
      <c r="A56" s="399">
        <f t="shared" si="18"/>
        <v>0</v>
      </c>
      <c r="B56" s="400">
        <f t="shared" si="18"/>
        <v>0</v>
      </c>
      <c r="C56" s="375">
        <f t="shared" si="11"/>
        <v>350</v>
      </c>
      <c r="D56" s="376">
        <f>C56*$D$7</f>
        <v>350</v>
      </c>
      <c r="E56" s="413">
        <f>データ貼り付け!S13</f>
        <v>0.43157347309876498</v>
      </c>
      <c r="F56" s="413">
        <f>データ貼り付け!T13</f>
        <v>0.40519440495641401</v>
      </c>
      <c r="G56" s="413">
        <f>データ貼り付け!S34</f>
        <v>0.43172112906411297</v>
      </c>
      <c r="H56" s="413">
        <f>データ貼り付け!T34</f>
        <v>0.40577028111015301</v>
      </c>
      <c r="I56" s="414" t="s">
        <v>424</v>
      </c>
      <c r="J56" s="414" t="s">
        <v>424</v>
      </c>
      <c r="K56" s="416">
        <f>AVERAGE(E56,G56,I56)</f>
        <v>0.43164730108143901</v>
      </c>
      <c r="L56" s="416">
        <f>AVERAGE(F56,H56,J56)</f>
        <v>0.40548234303328351</v>
      </c>
      <c r="M56" s="416">
        <f>K56-$K$51</f>
        <v>-3.1687125582944842E-3</v>
      </c>
      <c r="N56" s="416">
        <f>L56-$L$51</f>
        <v>-1.4602631422594436E-4</v>
      </c>
    </row>
    <row r="57" spans="1:14" ht="14.25">
      <c r="A57" s="399">
        <f t="shared" si="18"/>
        <v>0</v>
      </c>
      <c r="B57" s="400">
        <f t="shared" si="18"/>
        <v>0</v>
      </c>
      <c r="C57" s="375">
        <f t="shared" si="11"/>
        <v>400</v>
      </c>
      <c r="D57" s="376">
        <f>C57*$D$7</f>
        <v>400</v>
      </c>
      <c r="E57" s="413">
        <f>データ貼り付け!S14</f>
        <v>0.43086006457824799</v>
      </c>
      <c r="F57" s="413">
        <f>データ貼り付け!T14</f>
        <v>0.40513442643309699</v>
      </c>
      <c r="G57" s="413">
        <f>データ貼り付け!S35</f>
        <v>0.43109033182253897</v>
      </c>
      <c r="H57" s="413">
        <f>データ貼り付け!T35</f>
        <v>0.40578408838890101</v>
      </c>
      <c r="I57" s="414" t="s">
        <v>424</v>
      </c>
      <c r="J57" s="414" t="s">
        <v>424</v>
      </c>
      <c r="K57" s="416">
        <f>AVERAGE(E57,G57,I57)</f>
        <v>0.43097519820039348</v>
      </c>
      <c r="L57" s="416">
        <f>AVERAGE(F57,H57,J57)</f>
        <v>0.40545925741099897</v>
      </c>
      <c r="M57" s="416">
        <f>K57-$K$51</f>
        <v>-3.8408154393400062E-3</v>
      </c>
      <c r="N57" s="416">
        <f>L57-$L$51</f>
        <v>-1.6911193651047984E-4</v>
      </c>
    </row>
    <row r="85" spans="9:14" ht="14.25" thickBot="1">
      <c r="J85" s="419" t="s">
        <v>463</v>
      </c>
      <c r="K85" s="420"/>
    </row>
    <row r="86" spans="9:14" ht="14.25" thickBot="1">
      <c r="J86" s="421">
        <v>303</v>
      </c>
      <c r="K86" s="422"/>
      <c r="M86" s="421" t="str">
        <f>座標!H59</f>
        <v>5000K(ANSI)</v>
      </c>
      <c r="N86" s="422"/>
    </row>
    <row r="87" spans="9:14" ht="14.25" thickBot="1">
      <c r="M87" s="423" t="s">
        <v>464</v>
      </c>
      <c r="N87" s="424" t="s">
        <v>465</v>
      </c>
    </row>
    <row r="88" spans="9:14">
      <c r="J88" s="425" t="s">
        <v>466</v>
      </c>
      <c r="K88" s="425" t="s">
        <v>467</v>
      </c>
      <c r="M88" s="426"/>
      <c r="N88" s="427"/>
    </row>
    <row r="89" spans="9:14">
      <c r="I89" s="345" t="s">
        <v>468</v>
      </c>
      <c r="J89" s="428">
        <v>0.43390000000000001</v>
      </c>
      <c r="K89" s="428">
        <v>0.4032</v>
      </c>
      <c r="M89" s="429"/>
      <c r="N89" s="430"/>
    </row>
    <row r="90" spans="9:14">
      <c r="M90" s="429"/>
      <c r="N90" s="430"/>
    </row>
    <row r="91" spans="9:14">
      <c r="J91" s="425" t="s">
        <v>469</v>
      </c>
      <c r="K91" s="425" t="s">
        <v>470</v>
      </c>
      <c r="L91" s="431" t="s">
        <v>471</v>
      </c>
      <c r="M91" s="429"/>
      <c r="N91" s="430"/>
    </row>
    <row r="92" spans="9:14" ht="14.25" thickBot="1">
      <c r="J92" s="428">
        <v>53.17</v>
      </c>
      <c r="K92" s="428">
        <v>8.3400000000000002E-3</v>
      </c>
      <c r="L92" s="432">
        <v>4.0800000000000003E-3</v>
      </c>
      <c r="M92" s="433"/>
      <c r="N92" s="434"/>
    </row>
    <row r="94" spans="9:14" ht="14.25" thickBot="1">
      <c r="J94" s="435" t="s">
        <v>472</v>
      </c>
      <c r="K94" s="435" t="s">
        <v>473</v>
      </c>
    </row>
    <row r="95" spans="9:14">
      <c r="J95" s="436">
        <v>0.4388993527714305</v>
      </c>
      <c r="K95" s="437">
        <v>0.40987548289390291</v>
      </c>
      <c r="M95" s="329"/>
      <c r="N95" s="329"/>
    </row>
    <row r="96" spans="9:14">
      <c r="J96" s="438">
        <v>0.43884159695468916</v>
      </c>
      <c r="K96" s="439">
        <v>0.40991714999905959</v>
      </c>
      <c r="M96" s="329"/>
      <c r="N96" s="329"/>
    </row>
    <row r="97" spans="10:14">
      <c r="J97" s="438">
        <v>0.4387823358796451</v>
      </c>
      <c r="K97" s="439">
        <v>0.40995677099525607</v>
      </c>
      <c r="M97" s="329"/>
      <c r="N97" s="329"/>
    </row>
    <row r="98" spans="10:14">
      <c r="J98" s="438">
        <v>0.43872158759779589</v>
      </c>
      <c r="K98" s="439">
        <v>0.40999433381355305</v>
      </c>
      <c r="M98" s="329"/>
      <c r="N98" s="329"/>
    </row>
    <row r="99" spans="10:14">
      <c r="J99" s="438">
        <v>0.43865937061365656</v>
      </c>
      <c r="K99" s="439">
        <v>0.41002982701195229</v>
      </c>
      <c r="M99" s="329"/>
      <c r="N99" s="329"/>
    </row>
    <row r="100" spans="10:14">
      <c r="J100" s="438">
        <v>0.43859570387912328</v>
      </c>
      <c r="K100" s="439">
        <v>0.41006323977888165</v>
      </c>
      <c r="M100" s="329"/>
      <c r="N100" s="329"/>
    </row>
    <row r="101" spans="10:14">
      <c r="J101" s="438">
        <v>0.43853060678770012</v>
      </c>
      <c r="K101" s="439">
        <v>0.41009456193648863</v>
      </c>
      <c r="M101" s="329"/>
      <c r="N101" s="329"/>
    </row>
    <row r="102" spans="10:14">
      <c r="J102" s="438">
        <v>0.43846409916859175</v>
      </c>
      <c r="K102" s="439">
        <v>0.41012378394374072</v>
      </c>
      <c r="M102" s="329"/>
      <c r="N102" s="329"/>
    </row>
    <row r="103" spans="10:14">
      <c r="J103" s="438">
        <v>0.43839620128066314</v>
      </c>
      <c r="K103" s="439">
        <v>0.41015089689933126</v>
      </c>
      <c r="M103" s="329"/>
      <c r="N103" s="329"/>
    </row>
    <row r="104" spans="10:14">
      <c r="J104" s="438">
        <v>0.4383269338062688</v>
      </c>
      <c r="K104" s="439">
        <v>0.41017589254439146</v>
      </c>
      <c r="M104" s="329"/>
      <c r="N104" s="329"/>
    </row>
    <row r="105" spans="10:14">
      <c r="J105" s="438">
        <v>0.43825631784495239</v>
      </c>
      <c r="K105" s="439">
        <v>0.41019876326500559</v>
      </c>
      <c r="M105" s="329"/>
      <c r="N105" s="329"/>
    </row>
    <row r="106" spans="10:14">
      <c r="J106" s="438">
        <v>0.43818437490701984</v>
      </c>
      <c r="K106" s="439">
        <v>0.41021950209453073</v>
      </c>
      <c r="M106" s="329"/>
      <c r="N106" s="329"/>
    </row>
    <row r="107" spans="10:14">
      <c r="J107" s="438">
        <v>0.43811112690698695</v>
      </c>
      <c r="K107" s="439">
        <v>0.41023810271571842</v>
      </c>
      <c r="M107" s="329"/>
      <c r="N107" s="329"/>
    </row>
    <row r="108" spans="10:14">
      <c r="J108" s="438">
        <v>0.43803659615690405</v>
      </c>
      <c r="K108" s="439">
        <v>0.41025455946263922</v>
      </c>
      <c r="M108" s="329"/>
      <c r="N108" s="329"/>
    </row>
    <row r="109" spans="10:14">
      <c r="J109" s="438">
        <v>0.43796080535955961</v>
      </c>
      <c r="K109" s="439">
        <v>0.41026886732240869</v>
      </c>
      <c r="M109" s="329"/>
      <c r="N109" s="329"/>
    </row>
    <row r="110" spans="10:14">
      <c r="J110" s="438">
        <v>0.43788377760156483</v>
      </c>
      <c r="K110" s="439">
        <v>0.41028102193671412</v>
      </c>
      <c r="M110" s="329"/>
      <c r="N110" s="329"/>
    </row>
    <row r="111" spans="10:14">
      <c r="J111" s="438">
        <v>0.43780553634632086</v>
      </c>
      <c r="K111" s="439">
        <v>0.41029101960314218</v>
      </c>
      <c r="M111" s="329"/>
      <c r="N111" s="329"/>
    </row>
    <row r="112" spans="10:14">
      <c r="J112" s="438">
        <v>0.43772610542687201</v>
      </c>
      <c r="K112" s="439">
        <v>0.41029885727630688</v>
      </c>
      <c r="M112" s="329"/>
      <c r="N112" s="329"/>
    </row>
    <row r="113" spans="10:14">
      <c r="J113" s="438">
        <v>0.4376455090386458</v>
      </c>
      <c r="K113" s="439">
        <v>0.41030453256877708</v>
      </c>
      <c r="M113" s="329"/>
      <c r="N113" s="329"/>
    </row>
    <row r="114" spans="10:14">
      <c r="J114" s="438">
        <v>0.43756377173208288</v>
      </c>
      <c r="K114" s="439">
        <v>0.41030804375180363</v>
      </c>
      <c r="M114" s="329"/>
      <c r="N114" s="329"/>
    </row>
    <row r="115" spans="10:14">
      <c r="J115" s="438">
        <v>0.43748091840515863</v>
      </c>
      <c r="K115" s="439">
        <v>0.41030938975584624</v>
      </c>
      <c r="M115" s="329"/>
      <c r="N115" s="329"/>
    </row>
    <row r="116" spans="10:14">
      <c r="J116" s="438">
        <v>0.43739697429579905</v>
      </c>
      <c r="K116" s="439">
        <v>0.410308570170899</v>
      </c>
      <c r="M116" s="329"/>
      <c r="N116" s="329"/>
    </row>
    <row r="117" spans="10:14">
      <c r="J117" s="438">
        <v>0.43731196497419295</v>
      </c>
      <c r="K117" s="439">
        <v>0.41030558524661548</v>
      </c>
      <c r="M117" s="329"/>
      <c r="N117" s="329"/>
    </row>
    <row r="118" spans="10:14">
      <c r="J118" s="438">
        <v>0.4372259163350033</v>
      </c>
      <c r="K118" s="439">
        <v>0.41030043589223247</v>
      </c>
      <c r="M118" s="329"/>
      <c r="N118" s="329"/>
    </row>
    <row r="119" spans="10:14">
      <c r="J119" s="438">
        <v>0.43713885458947915</v>
      </c>
      <c r="K119" s="439">
        <v>0.41029312367629317</v>
      </c>
      <c r="M119" s="329"/>
      <c r="N119" s="329"/>
    </row>
    <row r="120" spans="10:14">
      <c r="J120" s="438">
        <v>0.43705080625747156</v>
      </c>
      <c r="K120" s="439">
        <v>0.41028365082616952</v>
      </c>
      <c r="M120" s="329"/>
      <c r="N120" s="329"/>
    </row>
    <row r="121" spans="10:14">
      <c r="J121" s="438">
        <v>0.43696179815935537</v>
      </c>
      <c r="K121" s="439">
        <v>0.41027202022738329</v>
      </c>
      <c r="M121" s="329"/>
      <c r="N121" s="329"/>
    </row>
    <row r="122" spans="10:14">
      <c r="J122" s="438">
        <v>0.43687185740785955</v>
      </c>
      <c r="K122" s="439">
        <v>0.4102582354227276</v>
      </c>
      <c r="M122" s="329"/>
      <c r="N122" s="329"/>
    </row>
    <row r="123" spans="10:14">
      <c r="J123" s="438">
        <v>0.43678101139980824</v>
      </c>
      <c r="K123" s="439">
        <v>0.41024230061118755</v>
      </c>
      <c r="M123" s="329"/>
      <c r="N123" s="329"/>
    </row>
    <row r="124" spans="10:14">
      <c r="J124" s="438">
        <v>0.43668928780777561</v>
      </c>
      <c r="K124" s="439">
        <v>0.41022422064666098</v>
      </c>
      <c r="M124" s="329"/>
      <c r="N124" s="329"/>
    </row>
    <row r="125" spans="10:14">
      <c r="J125" s="438">
        <v>0.43659671457165627</v>
      </c>
      <c r="K125" s="439">
        <v>0.4102040010364803</v>
      </c>
      <c r="M125" s="329"/>
      <c r="N125" s="329"/>
    </row>
    <row r="126" spans="10:14">
      <c r="J126" s="438">
        <v>0.43650331989015473</v>
      </c>
      <c r="K126" s="439">
        <v>0.41018164793973461</v>
      </c>
      <c r="M126" s="329"/>
      <c r="N126" s="329"/>
    </row>
    <row r="127" spans="10:14">
      <c r="J127" s="438">
        <v>0.43640913221219574</v>
      </c>
      <c r="K127" s="439">
        <v>0.41015716816539377</v>
      </c>
      <c r="M127" s="329"/>
      <c r="N127" s="329"/>
    </row>
    <row r="128" spans="10:14">
      <c r="J128" s="438">
        <v>0.43631418022825841</v>
      </c>
      <c r="K128" s="439">
        <v>0.4101305691702341</v>
      </c>
      <c r="M128" s="329"/>
      <c r="N128" s="329"/>
    </row>
    <row r="129" spans="10:14">
      <c r="J129" s="438">
        <v>0.43621849286163683</v>
      </c>
      <c r="K129" s="439">
        <v>0.41010185905656726</v>
      </c>
      <c r="M129" s="329"/>
      <c r="N129" s="329"/>
    </row>
    <row r="130" spans="10:14">
      <c r="J130" s="438">
        <v>0.43612209925962986</v>
      </c>
      <c r="K130" s="439">
        <v>0.410071046569772</v>
      </c>
      <c r="M130" s="329"/>
      <c r="N130" s="329"/>
    </row>
    <row r="131" spans="10:14">
      <c r="J131" s="438">
        <v>0.43602502878466248</v>
      </c>
      <c r="K131" s="439">
        <v>0.41003814109563025</v>
      </c>
      <c r="M131" s="329"/>
      <c r="N131" s="329"/>
    </row>
    <row r="132" spans="10:14">
      <c r="J132" s="438">
        <v>0.43592731100534166</v>
      </c>
      <c r="K132" s="439">
        <v>0.41000315265746823</v>
      </c>
      <c r="M132" s="329"/>
      <c r="N132" s="329"/>
    </row>
    <row r="133" spans="10:14">
      <c r="J133" s="438">
        <v>0.4358289756874496</v>
      </c>
      <c r="K133" s="439">
        <v>0.40996609191310313</v>
      </c>
      <c r="M133" s="329"/>
      <c r="N133" s="329"/>
    </row>
    <row r="134" spans="10:14">
      <c r="J134" s="438">
        <v>0.43573005278487675</v>
      </c>
      <c r="K134" s="439">
        <v>0.40992697015159668</v>
      </c>
      <c r="M134" s="329"/>
      <c r="N134" s="329"/>
    </row>
    <row r="135" spans="10:14">
      <c r="J135" s="438">
        <v>0.43563057243049752</v>
      </c>
      <c r="K135" s="439">
        <v>0.40988579928981639</v>
      </c>
      <c r="M135" s="329"/>
      <c r="N135" s="329"/>
    </row>
    <row r="136" spans="10:14">
      <c r="J136" s="438">
        <v>0.43553056492699149</v>
      </c>
      <c r="K136" s="439">
        <v>0.40984259186880567</v>
      </c>
      <c r="M136" s="329"/>
      <c r="N136" s="329"/>
    </row>
    <row r="137" spans="10:14">
      <c r="J137" s="438">
        <v>0.43543006073761309</v>
      </c>
      <c r="K137" s="439">
        <v>0.4097973610499635</v>
      </c>
      <c r="M137" s="329"/>
      <c r="N137" s="329"/>
    </row>
    <row r="138" spans="10:14">
      <c r="J138" s="438">
        <v>0.43532909047691198</v>
      </c>
      <c r="K138" s="439">
        <v>0.40975012061103538</v>
      </c>
      <c r="M138" s="329"/>
      <c r="N138" s="329"/>
    </row>
    <row r="139" spans="10:14">
      <c r="J139" s="438">
        <v>0.43522768490140767</v>
      </c>
      <c r="K139" s="439">
        <v>0.40970088494191675</v>
      </c>
      <c r="M139" s="329"/>
      <c r="N139" s="329"/>
    </row>
    <row r="140" spans="10:14">
      <c r="J140" s="438">
        <v>0.43512587490022087</v>
      </c>
      <c r="K140" s="439">
        <v>0.40964966904026934</v>
      </c>
      <c r="M140" s="329"/>
      <c r="N140" s="329"/>
    </row>
    <row r="141" spans="10:14">
      <c r="J141" s="438">
        <v>0.43502369148566411</v>
      </c>
      <c r="K141" s="439">
        <v>0.40959648850695285</v>
      </c>
      <c r="M141" s="329"/>
      <c r="N141" s="329"/>
    </row>
    <row r="142" spans="10:14">
      <c r="J142" s="438">
        <v>0.43492116578379536</v>
      </c>
      <c r="K142" s="439">
        <v>0.40954135954127302</v>
      </c>
      <c r="M142" s="329"/>
      <c r="N142" s="329"/>
    </row>
    <row r="143" spans="10:14">
      <c r="J143" s="438">
        <v>0.43481832902493661</v>
      </c>
      <c r="K143" s="439">
        <v>0.40948429893604676</v>
      </c>
      <c r="M143" s="329"/>
      <c r="N143" s="329"/>
    </row>
    <row r="144" spans="10:14">
      <c r="J144" s="438">
        <v>0.43471521253416084</v>
      </c>
      <c r="K144" s="439">
        <v>0.40942532407248722</v>
      </c>
      <c r="M144" s="329"/>
      <c r="N144" s="329"/>
    </row>
    <row r="145" spans="10:14">
      <c r="J145" s="438">
        <v>0.43461184772174999</v>
      </c>
      <c r="K145" s="439">
        <v>0.40936445291490914</v>
      </c>
      <c r="M145" s="329"/>
      <c r="N145" s="329"/>
    </row>
    <row r="146" spans="10:14">
      <c r="J146" s="438">
        <v>0.4345082660736273</v>
      </c>
      <c r="K146" s="439">
        <v>0.40930170400525678</v>
      </c>
      <c r="M146" s="329"/>
      <c r="N146" s="329"/>
    </row>
    <row r="147" spans="10:14">
      <c r="J147" s="438">
        <v>0.43440449914176615</v>
      </c>
      <c r="K147" s="439">
        <v>0.40923709645745587</v>
      </c>
      <c r="M147" s="329"/>
      <c r="N147" s="329"/>
    </row>
    <row r="148" spans="10:14">
      <c r="J148" s="438">
        <v>0.43430057853457926</v>
      </c>
      <c r="K148" s="439">
        <v>0.40917064995159136</v>
      </c>
      <c r="M148" s="329"/>
      <c r="N148" s="329"/>
    </row>
    <row r="149" spans="10:14">
      <c r="J149" s="438">
        <v>0.43419653590729024</v>
      </c>
      <c r="K149" s="439">
        <v>0.4091023847279126</v>
      </c>
      <c r="M149" s="329"/>
      <c r="N149" s="329"/>
    </row>
    <row r="150" spans="10:14">
      <c r="J150" s="438">
        <v>0.43409240295229123</v>
      </c>
      <c r="K150" s="439">
        <v>0.40903232158066805</v>
      </c>
      <c r="M150" s="329"/>
      <c r="N150" s="329"/>
    </row>
    <row r="151" spans="10:14">
      <c r="J151" s="438">
        <v>0.43398821138948912</v>
      </c>
      <c r="K151" s="439">
        <v>0.40896048185177108</v>
      </c>
      <c r="M151" s="329"/>
      <c r="N151" s="329"/>
    </row>
    <row r="152" spans="10:14">
      <c r="J152" s="438">
        <v>0.43388399295664326</v>
      </c>
      <c r="K152" s="439">
        <v>0.40888688742429896</v>
      </c>
      <c r="M152" s="329"/>
      <c r="N152" s="329"/>
    </row>
    <row r="153" spans="10:14">
      <c r="J153" s="438">
        <v>0.43377977939969781</v>
      </c>
      <c r="K153" s="439">
        <v>0.40881156071582736</v>
      </c>
      <c r="M153" s="329"/>
      <c r="N153" s="329"/>
    </row>
    <row r="154" spans="10:14">
      <c r="J154" s="438">
        <v>0.43367560246311188</v>
      </c>
      <c r="K154" s="439">
        <v>0.40873452467160126</v>
      </c>
      <c r="M154" s="329"/>
      <c r="N154" s="329"/>
    </row>
    <row r="155" spans="10:14">
      <c r="J155" s="438">
        <v>0.43357149388018945</v>
      </c>
      <c r="K155" s="439">
        <v>0.40865580275754604</v>
      </c>
      <c r="M155" s="329"/>
      <c r="N155" s="329"/>
    </row>
    <row r="156" spans="10:14">
      <c r="J156" s="438">
        <v>0.4334674853634134</v>
      </c>
      <c r="K156" s="439">
        <v>0.40857541895311933</v>
      </c>
      <c r="M156" s="329"/>
      <c r="N156" s="329"/>
    </row>
    <row r="157" spans="10:14">
      <c r="J157" s="438">
        <v>0.43336360859478557</v>
      </c>
      <c r="K157" s="439">
        <v>0.40849339774400667</v>
      </c>
      <c r="M157" s="329"/>
      <c r="N157" s="329"/>
    </row>
    <row r="158" spans="10:14">
      <c r="J158" s="438">
        <v>0.43325989521617586</v>
      </c>
      <c r="K158" s="439">
        <v>0.4084097641146629</v>
      </c>
      <c r="M158" s="329"/>
      <c r="N158" s="329"/>
    </row>
    <row r="159" spans="10:14">
      <c r="J159" s="438">
        <v>0.43315637681968416</v>
      </c>
      <c r="K159" s="439">
        <v>0.40832454354070163</v>
      </c>
      <c r="M159" s="329"/>
      <c r="N159" s="329"/>
    </row>
    <row r="160" spans="10:14">
      <c r="J160" s="438">
        <v>0.43305308493801686</v>
      </c>
      <c r="K160" s="439">
        <v>0.40823776198113532</v>
      </c>
      <c r="M160" s="329"/>
      <c r="N160" s="329"/>
    </row>
    <row r="161" spans="10:14">
      <c r="J161" s="438">
        <v>0.43295005103488166</v>
      </c>
      <c r="K161" s="439">
        <v>0.4081494458704677</v>
      </c>
      <c r="M161" s="329"/>
      <c r="N161" s="329"/>
    </row>
    <row r="162" spans="10:14">
      <c r="J162" s="438">
        <v>0.43284730649540354</v>
      </c>
      <c r="K162" s="439">
        <v>0.40805962211064151</v>
      </c>
      <c r="M162" s="329"/>
      <c r="N162" s="329"/>
    </row>
    <row r="163" spans="10:14">
      <c r="J163" s="438">
        <v>0.43274488261656469</v>
      </c>
      <c r="K163" s="439">
        <v>0.40796831806284423</v>
      </c>
      <c r="M163" s="329"/>
      <c r="N163" s="329"/>
    </row>
    <row r="164" spans="10:14">
      <c r="J164" s="438">
        <v>0.43264281059767062</v>
      </c>
      <c r="K164" s="439">
        <v>0.40787556153917326</v>
      </c>
      <c r="M164" s="329"/>
      <c r="N164" s="329"/>
    </row>
    <row r="165" spans="10:14">
      <c r="J165" s="438">
        <v>0.43254112153084723</v>
      </c>
      <c r="K165" s="439">
        <v>0.40778138079416432</v>
      </c>
      <c r="M165" s="329"/>
      <c r="N165" s="329"/>
    </row>
    <row r="166" spans="10:14">
      <c r="J166" s="438">
        <v>0.43243984639156924</v>
      </c>
      <c r="K166" s="439">
        <v>0.40768580451618464</v>
      </c>
      <c r="M166" s="329"/>
      <c r="N166" s="329"/>
    </row>
    <row r="167" spans="10:14">
      <c r="J167" s="438">
        <v>0.43233901602922525</v>
      </c>
      <c r="K167" s="439">
        <v>0.4075888618186943</v>
      </c>
      <c r="M167" s="329"/>
      <c r="N167" s="329"/>
    </row>
    <row r="168" spans="10:14">
      <c r="J168" s="438">
        <v>0.43223866115772036</v>
      </c>
      <c r="K168" s="439">
        <v>0.40749058223137818</v>
      </c>
      <c r="M168" s="329"/>
      <c r="N168" s="329"/>
    </row>
    <row r="169" spans="10:14">
      <c r="J169" s="438">
        <v>0.43213881234612056</v>
      </c>
      <c r="K169" s="439">
        <v>0.40739099569115056</v>
      </c>
      <c r="M169" s="329"/>
      <c r="N169" s="329"/>
    </row>
    <row r="170" spans="10:14">
      <c r="J170" s="438">
        <v>0.4320395000093411</v>
      </c>
      <c r="K170" s="439">
        <v>0.40729013253303636</v>
      </c>
      <c r="M170" s="329"/>
      <c r="N170" s="329"/>
    </row>
    <row r="171" spans="10:14">
      <c r="J171" s="438">
        <v>0.43194075439888191</v>
      </c>
      <c r="K171" s="439">
        <v>0.40718802348093058</v>
      </c>
      <c r="M171" s="329"/>
      <c r="N171" s="329"/>
    </row>
    <row r="172" spans="10:14">
      <c r="J172" s="438">
        <v>0.43184260559361243</v>
      </c>
      <c r="K172" s="439">
        <v>0.40708469963823962</v>
      </c>
      <c r="M172" s="329"/>
      <c r="N172" s="329"/>
    </row>
    <row r="173" spans="10:14">
      <c r="J173" s="438">
        <v>0.43174508349060958</v>
      </c>
      <c r="K173" s="439">
        <v>0.406980192478407</v>
      </c>
      <c r="M173" s="329"/>
      <c r="N173" s="329"/>
    </row>
    <row r="174" spans="10:14">
      <c r="J174" s="438">
        <v>0.43164821779605062</v>
      </c>
      <c r="K174" s="439">
        <v>0.40687453383532585</v>
      </c>
      <c r="M174" s="329"/>
      <c r="N174" s="329"/>
    </row>
    <row r="175" spans="10:14">
      <c r="J175" s="438">
        <v>0.43155203801616454</v>
      </c>
      <c r="K175" s="439">
        <v>0.40676775589364245</v>
      </c>
      <c r="M175" s="329"/>
      <c r="N175" s="329"/>
    </row>
    <row r="176" spans="10:14">
      <c r="J176" s="438">
        <v>0.4314565734482439</v>
      </c>
      <c r="K176" s="439">
        <v>0.40665989117895224</v>
      </c>
      <c r="M176" s="329"/>
      <c r="N176" s="329"/>
    </row>
    <row r="177" spans="10:14">
      <c r="J177" s="438">
        <v>0.43136185317172093</v>
      </c>
      <c r="K177" s="439">
        <v>0.40655097254789219</v>
      </c>
      <c r="M177" s="329"/>
      <c r="N177" s="329"/>
    </row>
    <row r="178" spans="10:14">
      <c r="J178" s="438">
        <v>0.43126790603930948</v>
      </c>
      <c r="K178" s="439">
        <v>0.40644103317813246</v>
      </c>
      <c r="M178" s="329"/>
      <c r="N178" s="329"/>
    </row>
    <row r="179" spans="10:14">
      <c r="J179" s="438">
        <v>0.43117476066821608</v>
      </c>
      <c r="K179" s="439">
        <v>0.40633010655827007</v>
      </c>
      <c r="M179" s="329"/>
      <c r="N179" s="329"/>
    </row>
    <row r="180" spans="10:14">
      <c r="J180" s="438">
        <v>0.4310824454314231</v>
      </c>
      <c r="K180" s="439">
        <v>0.40621822647762801</v>
      </c>
      <c r="M180" s="329"/>
      <c r="N180" s="329"/>
    </row>
    <row r="181" spans="10:14">
      <c r="J181" s="438">
        <v>0.43099098844904604</v>
      </c>
      <c r="K181" s="439">
        <v>0.40610542701596264</v>
      </c>
      <c r="M181" s="329"/>
      <c r="N181" s="329"/>
    </row>
    <row r="182" spans="10:14">
      <c r="J182" s="438">
        <v>0.4309004175797676</v>
      </c>
      <c r="K182" s="439">
        <v>0.40599174253308273</v>
      </c>
      <c r="M182" s="329"/>
      <c r="N182" s="329"/>
    </row>
    <row r="183" spans="10:14">
      <c r="J183" s="438">
        <v>0.43081076041235195</v>
      </c>
      <c r="K183" s="439">
        <v>0.40587720765838303</v>
      </c>
      <c r="M183" s="329"/>
      <c r="N183" s="329"/>
    </row>
    <row r="184" spans="10:14">
      <c r="J184" s="438">
        <v>0.43072204425724087</v>
      </c>
      <c r="K184" s="439">
        <v>0.40576185728029585</v>
      </c>
      <c r="M184" s="329"/>
      <c r="N184" s="329"/>
    </row>
    <row r="185" spans="10:14">
      <c r="J185" s="438">
        <v>0.43063429613823456</v>
      </c>
      <c r="K185" s="439">
        <v>0.40564572653566383</v>
      </c>
      <c r="M185" s="329"/>
      <c r="N185" s="329"/>
    </row>
    <row r="186" spans="10:14">
      <c r="J186" s="438">
        <v>0.43054754278426016</v>
      </c>
      <c r="K186" s="439">
        <v>0.40552885079903678</v>
      </c>
      <c r="M186" s="329"/>
      <c r="N186" s="329"/>
    </row>
    <row r="187" spans="10:14">
      <c r="J187" s="438">
        <v>0.43046181062122962</v>
      </c>
      <c r="K187" s="439">
        <v>0.40541126567189628</v>
      </c>
      <c r="M187" s="329"/>
      <c r="N187" s="329"/>
    </row>
    <row r="188" spans="10:14">
      <c r="J188" s="438">
        <v>0.43037712576399034</v>
      </c>
      <c r="K188" s="439">
        <v>0.40529300697181109</v>
      </c>
      <c r="M188" s="329"/>
      <c r="N188" s="329"/>
    </row>
    <row r="189" spans="10:14">
      <c r="J189" s="438">
        <v>0.43029351400837024</v>
      </c>
      <c r="K189" s="439">
        <v>0.40517411072152687</v>
      </c>
      <c r="M189" s="329"/>
      <c r="N189" s="329"/>
    </row>
    <row r="190" spans="10:14">
      <c r="J190" s="438">
        <v>0.43021100082331992</v>
      </c>
      <c r="K190" s="439">
        <v>0.40505461313799324</v>
      </c>
      <c r="M190" s="329"/>
      <c r="N190" s="329"/>
    </row>
    <row r="191" spans="10:14">
      <c r="J191" s="438">
        <v>0.43012961134315503</v>
      </c>
      <c r="K191" s="439">
        <v>0.40493455062133171</v>
      </c>
      <c r="M191" s="329"/>
      <c r="N191" s="329"/>
    </row>
    <row r="192" spans="10:14">
      <c r="J192" s="438">
        <v>0.4300493703598996</v>
      </c>
      <c r="K192" s="439">
        <v>0.40481395974374795</v>
      </c>
      <c r="M192" s="329"/>
      <c r="N192" s="329"/>
    </row>
    <row r="193" spans="10:14">
      <c r="J193" s="438">
        <v>0.42997030231573435</v>
      </c>
      <c r="K193" s="439">
        <v>0.40469287723839154</v>
      </c>
      <c r="M193" s="329"/>
      <c r="N193" s="329"/>
    </row>
    <row r="194" spans="10:14">
      <c r="J194" s="438">
        <v>0.42989243129555166</v>
      </c>
      <c r="K194" s="439">
        <v>0.40457133998816641</v>
      </c>
      <c r="M194" s="329"/>
      <c r="N194" s="329"/>
    </row>
    <row r="195" spans="10:14">
      <c r="J195" s="438">
        <v>0.42981578101961848</v>
      </c>
      <c r="K195" s="439">
        <v>0.40444938501449645</v>
      </c>
      <c r="M195" s="329"/>
      <c r="N195" s="329"/>
    </row>
    <row r="196" spans="10:14">
      <c r="J196" s="438">
        <v>0.42974037483635141</v>
      </c>
      <c r="K196" s="439">
        <v>0.40432704946604797</v>
      </c>
      <c r="M196" s="329"/>
      <c r="N196" s="329"/>
    </row>
    <row r="197" spans="10:14">
      <c r="J197" s="438">
        <v>0.42966623571520446</v>
      </c>
      <c r="K197" s="439">
        <v>0.40420437060741421</v>
      </c>
      <c r="M197" s="329"/>
      <c r="N197" s="329"/>
    </row>
    <row r="198" spans="10:14">
      <c r="J198" s="438">
        <v>0.42959338623967203</v>
      </c>
      <c r="K198" s="439">
        <v>0.40408138580776387</v>
      </c>
      <c r="M198" s="329"/>
      <c r="N198" s="329"/>
    </row>
    <row r="199" spans="10:14">
      <c r="J199" s="438">
        <v>0.42952184860041004</v>
      </c>
      <c r="K199" s="439">
        <v>0.40395813252945828</v>
      </c>
      <c r="M199" s="329"/>
      <c r="N199" s="329"/>
    </row>
    <row r="200" spans="10:14">
      <c r="J200" s="438">
        <v>0.42945164458847651</v>
      </c>
      <c r="K200" s="439">
        <v>0.40383464831664007</v>
      </c>
      <c r="M200" s="329"/>
      <c r="N200" s="329"/>
    </row>
    <row r="201" spans="10:14">
      <c r="J201" s="438">
        <v>0.42938279558869358</v>
      </c>
      <c r="K201" s="439">
        <v>0.40371097078379659</v>
      </c>
      <c r="M201" s="329"/>
      <c r="N201" s="329"/>
    </row>
    <row r="202" spans="10:14">
      <c r="J202" s="438">
        <v>0.42931532257313337</v>
      </c>
      <c r="K202" s="439">
        <v>0.40358713760430248</v>
      </c>
      <c r="M202" s="329"/>
      <c r="N202" s="329"/>
    </row>
    <row r="203" spans="10:14">
      <c r="J203" s="438">
        <v>0.4292492460947302</v>
      </c>
      <c r="K203" s="439">
        <v>0.4034631864989438</v>
      </c>
      <c r="M203" s="329"/>
      <c r="N203" s="329"/>
    </row>
    <row r="204" spans="10:14">
      <c r="J204" s="438">
        <v>0.42918458628101946</v>
      </c>
      <c r="K204" s="439">
        <v>0.40333915522442804</v>
      </c>
      <c r="M204" s="329"/>
      <c r="N204" s="329"/>
    </row>
    <row r="205" spans="10:14">
      <c r="J205" s="438">
        <v>0.42912136282800672</v>
      </c>
      <c r="K205" s="439">
        <v>0.4032150815618829</v>
      </c>
      <c r="M205" s="329"/>
      <c r="N205" s="329"/>
    </row>
    <row r="206" spans="10:14">
      <c r="J206" s="438">
        <v>0.42905959499416829</v>
      </c>
      <c r="K206" s="439">
        <v>0.40309100330534786</v>
      </c>
    </row>
    <row r="207" spans="10:14">
      <c r="J207" s="438">
        <v>0.42899930159458471</v>
      </c>
      <c r="K207" s="439">
        <v>0.40296695825026191</v>
      </c>
    </row>
    <row r="208" spans="10:14">
      <c r="J208" s="438">
        <v>0.42894050099520953</v>
      </c>
      <c r="K208" s="439">
        <v>0.40284298418195047</v>
      </c>
    </row>
    <row r="209" spans="10:11">
      <c r="J209" s="438">
        <v>0.42888321110727495</v>
      </c>
      <c r="K209" s="439">
        <v>0.40271911886411571</v>
      </c>
    </row>
    <row r="210" spans="10:11">
      <c r="J210" s="438">
        <v>0.42882744938183581</v>
      </c>
      <c r="K210" s="439">
        <v>0.40259540002733329</v>
      </c>
    </row>
    <row r="211" spans="10:11">
      <c r="J211" s="438">
        <v>0.4287732328044539</v>
      </c>
      <c r="K211" s="439">
        <v>0.40247186535755947</v>
      </c>
    </row>
    <row r="212" spans="10:11">
      <c r="J212" s="438">
        <v>0.42872057789002382</v>
      </c>
      <c r="K212" s="439">
        <v>0.40234855248465135</v>
      </c>
    </row>
    <row r="213" spans="10:11">
      <c r="J213" s="438">
        <v>0.42866950067774268</v>
      </c>
      <c r="K213" s="439">
        <v>0.40222549897090454</v>
      </c>
    </row>
    <row r="214" spans="10:11">
      <c r="J214" s="438">
        <v>0.42862001672622402</v>
      </c>
      <c r="K214" s="439">
        <v>0.4021027422996114</v>
      </c>
    </row>
    <row r="215" spans="10:11">
      <c r="J215" s="438">
        <v>0.42857214110875896</v>
      </c>
      <c r="K215" s="439">
        <v>0.40198031986364319</v>
      </c>
    </row>
    <row r="216" spans="10:11">
      <c r="J216" s="438">
        <v>0.42852588840872424</v>
      </c>
      <c r="K216" s="439">
        <v>0.40185826895405979</v>
      </c>
    </row>
    <row r="217" spans="10:11">
      <c r="J217" s="438">
        <v>0.42848127271514047</v>
      </c>
      <c r="K217" s="439">
        <v>0.4017366267487506</v>
      </c>
    </row>
    <row r="218" spans="10:11">
      <c r="J218" s="438">
        <v>0.42843830761838003</v>
      </c>
      <c r="K218" s="439">
        <v>0.4016154303011098</v>
      </c>
    </row>
    <row r="219" spans="10:11">
      <c r="J219" s="438">
        <v>0.42839700620602761</v>
      </c>
      <c r="K219" s="439">
        <v>0.40149471652874935</v>
      </c>
    </row>
    <row r="220" spans="10:11">
      <c r="J220" s="438">
        <v>0.42835738105889354</v>
      </c>
      <c r="K220" s="439">
        <v>0.40137452220225367</v>
      </c>
    </row>
    <row r="221" spans="10:11">
      <c r="J221" s="438">
        <v>0.42831944424718149</v>
      </c>
      <c r="K221" s="439">
        <v>0.40125488393397901</v>
      </c>
    </row>
    <row r="222" spans="10:11">
      <c r="J222" s="438">
        <v>0.42828320732681185</v>
      </c>
      <c r="K222" s="439">
        <v>0.40113583816690085</v>
      </c>
    </row>
    <row r="223" spans="10:11">
      <c r="J223" s="438">
        <v>0.42824868133590149</v>
      </c>
      <c r="K223" s="439">
        <v>0.40101742116351297</v>
      </c>
    </row>
    <row r="224" spans="10:11">
      <c r="J224" s="438">
        <v>0.42821587679140183</v>
      </c>
      <c r="K224" s="439">
        <v>0.40089966899478185</v>
      </c>
    </row>
    <row r="225" spans="10:11">
      <c r="J225" s="438">
        <v>0.42818480368589479</v>
      </c>
      <c r="K225" s="439">
        <v>0.40078261752915872</v>
      </c>
    </row>
    <row r="226" spans="10:11">
      <c r="J226" s="438">
        <v>0.42815547148454941</v>
      </c>
      <c r="K226" s="439">
        <v>0.40066630242165391</v>
      </c>
    </row>
    <row r="227" spans="10:11">
      <c r="J227" s="438">
        <v>0.42812788912223831</v>
      </c>
      <c r="K227" s="439">
        <v>0.40055075910297594</v>
      </c>
    </row>
    <row r="228" spans="10:11">
      <c r="J228" s="438">
        <v>0.42810206500081632</v>
      </c>
      <c r="K228" s="439">
        <v>0.40043602276873896</v>
      </c>
    </row>
    <row r="229" spans="10:11">
      <c r="J229" s="438">
        <v>0.4280780069865609</v>
      </c>
      <c r="K229" s="439">
        <v>0.40032212836874187</v>
      </c>
    </row>
    <row r="230" spans="10:11">
      <c r="J230" s="438">
        <v>0.42805572240777628</v>
      </c>
      <c r="K230" s="439">
        <v>0.40020911059632225</v>
      </c>
    </row>
    <row r="231" spans="10:11">
      <c r="J231" s="438">
        <v>0.42803521805256106</v>
      </c>
      <c r="K231" s="439">
        <v>0.4000970038777884</v>
      </c>
    </row>
    <row r="232" spans="10:11">
      <c r="J232" s="438">
        <v>0.42801650016674042</v>
      </c>
      <c r="K232" s="439">
        <v>0.39998584236193274</v>
      </c>
    </row>
    <row r="233" spans="10:11">
      <c r="J233" s="438">
        <v>0.42799957445196379</v>
      </c>
      <c r="K233" s="439">
        <v>0.39987565990962992</v>
      </c>
    </row>
    <row r="234" spans="10:11">
      <c r="J234" s="438">
        <v>0.42798444606396774</v>
      </c>
      <c r="K234" s="439">
        <v>0.39976649008352222</v>
      </c>
    </row>
    <row r="235" spans="10:11">
      <c r="J235" s="438">
        <v>0.42797111961100587</v>
      </c>
      <c r="K235" s="439">
        <v>0.39965836613779621</v>
      </c>
    </row>
    <row r="236" spans="10:11">
      <c r="J236" s="438">
        <v>0.42795959915244486</v>
      </c>
      <c r="K236" s="439">
        <v>0.39955132100805324</v>
      </c>
    </row>
    <row r="237" spans="10:11">
      <c r="J237" s="438">
        <v>0.42794988819752799</v>
      </c>
      <c r="K237" s="439">
        <v>0.39944538730127671</v>
      </c>
    </row>
    <row r="238" spans="10:11">
      <c r="J238" s="438">
        <v>0.42794198970430614</v>
      </c>
      <c r="K238" s="439">
        <v>0.39934059728589999</v>
      </c>
    </row>
    <row r="239" spans="10:11">
      <c r="J239" s="438">
        <v>0.42793590607873694</v>
      </c>
      <c r="K239" s="439">
        <v>0.3992369828819769</v>
      </c>
    </row>
    <row r="240" spans="10:11">
      <c r="J240" s="438">
        <v>0.42793163917395161</v>
      </c>
      <c r="K240" s="439">
        <v>0.39913457565145849</v>
      </c>
    </row>
    <row r="241" spans="10:11">
      <c r="J241" s="438">
        <v>0.42792919028969068</v>
      </c>
      <c r="K241" s="439">
        <v>0.39903340678857935</v>
      </c>
    </row>
    <row r="242" spans="10:11">
      <c r="J242" s="438">
        <v>0.42792856017190806</v>
      </c>
      <c r="K242" s="439">
        <v>0.39893350711035513</v>
      </c>
    </row>
    <row r="243" spans="10:11">
      <c r="J243" s="438">
        <v>0.42792974901254371</v>
      </c>
      <c r="K243" s="439">
        <v>0.39883490704719549</v>
      </c>
    </row>
    <row r="244" spans="10:11">
      <c r="J244" s="438">
        <v>0.42793275644946527</v>
      </c>
      <c r="K244" s="439">
        <v>0.39873763663363487</v>
      </c>
    </row>
    <row r="245" spans="10:11">
      <c r="J245" s="438">
        <v>0.42793758156657835</v>
      </c>
      <c r="K245" s="439">
        <v>0.39864172549918359</v>
      </c>
    </row>
    <row r="246" spans="10:11">
      <c r="J246" s="438">
        <v>0.42794422289410544</v>
      </c>
      <c r="K246" s="439">
        <v>0.39854720285930217</v>
      </c>
    </row>
    <row r="247" spans="10:11">
      <c r="J247" s="438">
        <v>0.42795267840903389</v>
      </c>
      <c r="K247" s="439">
        <v>0.39845409750650251</v>
      </c>
    </row>
    <row r="248" spans="10:11">
      <c r="J248" s="438">
        <v>0.42796294553573194</v>
      </c>
      <c r="K248" s="439">
        <v>0.39836243780157699</v>
      </c>
    </row>
    <row r="249" spans="10:11">
      <c r="J249" s="438">
        <v>0.42797502114673341</v>
      </c>
      <c r="K249" s="439">
        <v>0.39827225166495961</v>
      </c>
    </row>
    <row r="250" spans="10:11">
      <c r="J250" s="438">
        <v>0.42798890156369007</v>
      </c>
      <c r="K250" s="439">
        <v>0.39818356656822124</v>
      </c>
    </row>
    <row r="251" spans="10:11">
      <c r="J251" s="438">
        <v>0.42800458255849255</v>
      </c>
      <c r="K251" s="439">
        <v>0.39809640952570147</v>
      </c>
    </row>
    <row r="252" spans="10:11">
      <c r="J252" s="438">
        <v>0.42802205935455795</v>
      </c>
      <c r="K252" s="439">
        <v>0.39801080708627973</v>
      </c>
    </row>
    <row r="253" spans="10:11">
      <c r="J253" s="438">
        <v>0.42804132662828476</v>
      </c>
      <c r="K253" s="439">
        <v>0.39792678532528841</v>
      </c>
    </row>
    <row r="254" spans="10:11">
      <c r="J254" s="438">
        <v>0.42806237851067491</v>
      </c>
      <c r="K254" s="439">
        <v>0.39784436983656973</v>
      </c>
    </row>
    <row r="255" spans="10:11">
      <c r="J255" s="438">
        <v>0.42808520858912097</v>
      </c>
      <c r="K255" s="439">
        <v>0.39776358572468001</v>
      </c>
    </row>
    <row r="256" spans="10:11">
      <c r="J256" s="438">
        <v>0.42810980990935993</v>
      </c>
      <c r="K256" s="439">
        <v>0.3976844575972423</v>
      </c>
    </row>
    <row r="257" spans="10:11">
      <c r="J257" s="438">
        <v>0.42813617497759138</v>
      </c>
      <c r="K257" s="439">
        <v>0.39760700955745071</v>
      </c>
    </row>
    <row r="258" spans="10:11">
      <c r="J258" s="438">
        <v>0.42816429576276005</v>
      </c>
      <c r="K258" s="439">
        <v>0.39753126519672843</v>
      </c>
    </row>
    <row r="259" spans="10:11">
      <c r="J259" s="438">
        <v>0.42819416369900237</v>
      </c>
      <c r="K259" s="439">
        <v>0.39745724758754153</v>
      </c>
    </row>
    <row r="260" spans="10:11">
      <c r="J260" s="438">
        <v>0.42822576968825571</v>
      </c>
      <c r="K260" s="439">
        <v>0.39738497927637073</v>
      </c>
    </row>
    <row r="261" spans="10:11">
      <c r="J261" s="438">
        <v>0.42825910410302948</v>
      </c>
      <c r="K261" s="439">
        <v>0.39731448227684374</v>
      </c>
    </row>
    <row r="262" spans="10:11">
      <c r="J262" s="438">
        <v>0.42829415678933802</v>
      </c>
      <c r="K262" s="439">
        <v>0.39724577806302946</v>
      </c>
    </row>
    <row r="263" spans="10:11">
      <c r="J263" s="438">
        <v>0.42833091706979359</v>
      </c>
      <c r="K263" s="439">
        <v>0.39717888756289704</v>
      </c>
    </row>
    <row r="264" spans="10:11">
      <c r="J264" s="438">
        <v>0.42836937374685863</v>
      </c>
      <c r="K264" s="439">
        <v>0.39711383115194082</v>
      </c>
    </row>
    <row r="265" spans="10:11">
      <c r="J265" s="438">
        <v>0.42840951510625674</v>
      </c>
      <c r="K265" s="439">
        <v>0.39705062864697377</v>
      </c>
    </row>
    <row r="266" spans="10:11">
      <c r="J266" s="438">
        <v>0.428451328920541</v>
      </c>
      <c r="K266" s="439">
        <v>0.39698929930009108</v>
      </c>
    </row>
    <row r="267" spans="10:11">
      <c r="J267" s="438">
        <v>0.42849480245281857</v>
      </c>
      <c r="K267" s="439">
        <v>0.39692986179280604</v>
      </c>
    </row>
    <row r="268" spans="10:11">
      <c r="J268" s="438">
        <v>0.42853992246063027</v>
      </c>
      <c r="K268" s="439">
        <v>0.39687233423035911</v>
      </c>
    </row>
    <row r="269" spans="10:11">
      <c r="J269" s="438">
        <v>0.42858667519998472</v>
      </c>
      <c r="K269" s="439">
        <v>0.39681673413620311</v>
      </c>
    </row>
    <row r="270" spans="10:11">
      <c r="J270" s="438">
        <v>0.42863504642954459</v>
      </c>
      <c r="K270" s="439">
        <v>0.39676307844666525</v>
      </c>
    </row>
    <row r="271" spans="10:11">
      <c r="J271" s="438">
        <v>0.42868502141496478</v>
      </c>
      <c r="K271" s="439">
        <v>0.39671138350578838</v>
      </c>
    </row>
    <row r="272" spans="10:11">
      <c r="J272" s="438">
        <v>0.42873658493338063</v>
      </c>
      <c r="K272" s="439">
        <v>0.39666166506035233</v>
      </c>
    </row>
    <row r="273" spans="10:11">
      <c r="J273" s="438">
        <v>0.42878972127804482</v>
      </c>
      <c r="K273" s="439">
        <v>0.39661393825507718</v>
      </c>
    </row>
    <row r="274" spans="10:11">
      <c r="J274" s="438">
        <v>0.42884441426311215</v>
      </c>
      <c r="K274" s="439">
        <v>0.39656821762801014</v>
      </c>
    </row>
    <row r="275" spans="10:11">
      <c r="J275" s="438">
        <v>0.42890064722856952</v>
      </c>
      <c r="K275" s="439">
        <v>0.3965245171060971</v>
      </c>
    </row>
    <row r="276" spans="10:11">
      <c r="J276" s="438">
        <v>0.42895840304531085</v>
      </c>
      <c r="K276" s="439">
        <v>0.39648285000094041</v>
      </c>
    </row>
    <row r="277" spans="10:11">
      <c r="J277" s="438">
        <v>0.42901766412035491</v>
      </c>
      <c r="K277" s="439">
        <v>0.39644322900474394</v>
      </c>
    </row>
    <row r="278" spans="10:11">
      <c r="J278" s="438">
        <v>0.42907841240220412</v>
      </c>
      <c r="K278" s="439">
        <v>0.39640566618644696</v>
      </c>
    </row>
    <row r="279" spans="10:11">
      <c r="J279" s="438">
        <v>0.42914062938634345</v>
      </c>
      <c r="K279" s="439">
        <v>0.39637017298804772</v>
      </c>
    </row>
    <row r="280" spans="10:11">
      <c r="J280" s="438">
        <v>0.42920429612087674</v>
      </c>
      <c r="K280" s="439">
        <v>0.39633676022111836</v>
      </c>
    </row>
    <row r="281" spans="10:11">
      <c r="J281" s="438">
        <v>0.4292693932122999</v>
      </c>
      <c r="K281" s="439">
        <v>0.39630543806351137</v>
      </c>
    </row>
    <row r="282" spans="10:11">
      <c r="J282" s="438">
        <v>0.42933590083140827</v>
      </c>
      <c r="K282" s="439">
        <v>0.39627621605625934</v>
      </c>
    </row>
    <row r="283" spans="10:11">
      <c r="J283" s="438">
        <v>0.42940379871933687</v>
      </c>
      <c r="K283" s="439">
        <v>0.39624910310066874</v>
      </c>
    </row>
    <row r="284" spans="10:11">
      <c r="J284" s="438">
        <v>0.42947306619373121</v>
      </c>
      <c r="K284" s="439">
        <v>0.39622410745560854</v>
      </c>
    </row>
    <row r="285" spans="10:11">
      <c r="J285" s="438">
        <v>0.42954368215504762</v>
      </c>
      <c r="K285" s="439">
        <v>0.39620123673499441</v>
      </c>
    </row>
    <row r="286" spans="10:11">
      <c r="J286" s="438">
        <v>0.42961562509298018</v>
      </c>
      <c r="K286" s="439">
        <v>0.39618049790546928</v>
      </c>
    </row>
    <row r="287" spans="10:11">
      <c r="J287" s="438">
        <v>0.42968887309301307</v>
      </c>
      <c r="K287" s="439">
        <v>0.39616189728428158</v>
      </c>
    </row>
    <row r="288" spans="10:11">
      <c r="J288" s="438">
        <v>0.42976340384309597</v>
      </c>
      <c r="K288" s="439">
        <v>0.39614544053736078</v>
      </c>
    </row>
    <row r="289" spans="10:11">
      <c r="J289" s="438">
        <v>0.4298391946404404</v>
      </c>
      <c r="K289" s="439">
        <v>0.39613113267759131</v>
      </c>
    </row>
    <row r="290" spans="10:11">
      <c r="J290" s="438">
        <v>0.42991622239843519</v>
      </c>
      <c r="K290" s="439">
        <v>0.39611897806328589</v>
      </c>
    </row>
    <row r="291" spans="10:11">
      <c r="J291" s="438">
        <v>0.42999446365367916</v>
      </c>
      <c r="K291" s="439">
        <v>0.39610898039685782</v>
      </c>
    </row>
    <row r="292" spans="10:11">
      <c r="J292" s="438">
        <v>0.430073894573128</v>
      </c>
      <c r="K292" s="439">
        <v>0.39610114272369312</v>
      </c>
    </row>
    <row r="293" spans="10:11">
      <c r="J293" s="438">
        <v>0.43015449096135422</v>
      </c>
      <c r="K293" s="439">
        <v>0.39609546743122293</v>
      </c>
    </row>
    <row r="294" spans="10:11">
      <c r="J294" s="438">
        <v>0.43023622826791713</v>
      </c>
      <c r="K294" s="439">
        <v>0.39609195624819638</v>
      </c>
    </row>
    <row r="295" spans="10:11">
      <c r="J295" s="438">
        <v>0.43031908159484139</v>
      </c>
      <c r="K295" s="439">
        <v>0.39609061024415376</v>
      </c>
    </row>
    <row r="296" spans="10:11">
      <c r="J296" s="438">
        <v>0.43040302570420097</v>
      </c>
      <c r="K296" s="439">
        <v>0.396091429829101</v>
      </c>
    </row>
    <row r="297" spans="10:11">
      <c r="J297" s="438">
        <v>0.43048803502580707</v>
      </c>
      <c r="K297" s="439">
        <v>0.39609441475338453</v>
      </c>
    </row>
    <row r="298" spans="10:11">
      <c r="J298" s="438">
        <v>0.43057408366499672</v>
      </c>
      <c r="K298" s="439">
        <v>0.39609956410776753</v>
      </c>
    </row>
    <row r="299" spans="10:11">
      <c r="J299" s="438">
        <v>0.43066114541052086</v>
      </c>
      <c r="K299" s="439">
        <v>0.39610687632370684</v>
      </c>
    </row>
    <row r="300" spans="10:11">
      <c r="J300" s="438">
        <v>0.43074919374252846</v>
      </c>
      <c r="K300" s="439">
        <v>0.39611634917383048</v>
      </c>
    </row>
    <row r="301" spans="10:11">
      <c r="J301" s="438">
        <v>0.43083820184064464</v>
      </c>
      <c r="K301" s="439">
        <v>0.39612797977261671</v>
      </c>
    </row>
    <row r="302" spans="10:11">
      <c r="J302" s="438">
        <v>0.43092814259214046</v>
      </c>
      <c r="K302" s="439">
        <v>0.3961417645772724</v>
      </c>
    </row>
    <row r="303" spans="10:11">
      <c r="J303" s="438">
        <v>0.43101898860019178</v>
      </c>
      <c r="K303" s="439">
        <v>0.39615769938881246</v>
      </c>
    </row>
    <row r="304" spans="10:11">
      <c r="J304" s="438">
        <v>0.43111071219222441</v>
      </c>
      <c r="K304" s="439">
        <v>0.39617577935333903</v>
      </c>
    </row>
    <row r="305" spans="10:11">
      <c r="J305" s="438">
        <v>0.43120328542834374</v>
      </c>
      <c r="K305" s="439">
        <v>0.3961959989635197</v>
      </c>
    </row>
    <row r="306" spans="10:11">
      <c r="J306" s="438">
        <v>0.43129668010984529</v>
      </c>
      <c r="K306" s="439">
        <v>0.3962183520602654</v>
      </c>
    </row>
    <row r="307" spans="10:11">
      <c r="J307" s="438">
        <v>0.43139086778780428</v>
      </c>
      <c r="K307" s="439">
        <v>0.39624283183460624</v>
      </c>
    </row>
    <row r="308" spans="10:11">
      <c r="J308" s="438">
        <v>0.43148581977174161</v>
      </c>
      <c r="K308" s="439">
        <v>0.3962694308297659</v>
      </c>
    </row>
    <row r="309" spans="10:11">
      <c r="J309" s="438">
        <v>0.43158150713836319</v>
      </c>
      <c r="K309" s="439">
        <v>0.39629814094343274</v>
      </c>
    </row>
    <row r="310" spans="10:11">
      <c r="J310" s="438">
        <v>0.43167790074037016</v>
      </c>
      <c r="K310" s="439">
        <v>0.396328953430228</v>
      </c>
    </row>
    <row r="311" spans="10:11">
      <c r="J311" s="438">
        <v>0.43177497121533753</v>
      </c>
      <c r="K311" s="439">
        <v>0.39636185890436976</v>
      </c>
    </row>
    <row r="312" spans="10:11">
      <c r="J312" s="438">
        <v>0.43187268899465836</v>
      </c>
      <c r="K312" s="439">
        <v>0.39639684734253178</v>
      </c>
    </row>
    <row r="313" spans="10:11">
      <c r="J313" s="438">
        <v>0.43197102431255041</v>
      </c>
      <c r="K313" s="439">
        <v>0.39643390808689688</v>
      </c>
    </row>
    <row r="314" spans="10:11">
      <c r="J314" s="438">
        <v>0.43206994721512326</v>
      </c>
      <c r="K314" s="439">
        <v>0.39647302984840332</v>
      </c>
    </row>
    <row r="315" spans="10:11">
      <c r="J315" s="438">
        <v>0.4321694275695025</v>
      </c>
      <c r="K315" s="439">
        <v>0.39651420071018362</v>
      </c>
    </row>
    <row r="316" spans="10:11">
      <c r="J316" s="438">
        <v>0.43226943507300852</v>
      </c>
      <c r="K316" s="439">
        <v>0.39655740813119433</v>
      </c>
    </row>
    <row r="317" spans="10:11">
      <c r="J317" s="438">
        <v>0.43236993926238693</v>
      </c>
      <c r="K317" s="439">
        <v>0.3966026389500365</v>
      </c>
    </row>
    <row r="318" spans="10:11">
      <c r="J318" s="438">
        <v>0.43247090952308803</v>
      </c>
      <c r="K318" s="439">
        <v>0.39664987938896457</v>
      </c>
    </row>
    <row r="319" spans="10:11">
      <c r="J319" s="438">
        <v>0.43257231509859234</v>
      </c>
      <c r="K319" s="439">
        <v>0.39669911505808325</v>
      </c>
    </row>
    <row r="320" spans="10:11">
      <c r="J320" s="438">
        <v>0.43267412509977915</v>
      </c>
      <c r="K320" s="439">
        <v>0.39675033095973067</v>
      </c>
    </row>
    <row r="321" spans="10:11">
      <c r="J321" s="438">
        <v>0.43277630851433591</v>
      </c>
      <c r="K321" s="439">
        <v>0.39680351149304716</v>
      </c>
    </row>
    <row r="322" spans="10:11">
      <c r="J322" s="438">
        <v>0.43287883421620466</v>
      </c>
      <c r="K322" s="439">
        <v>0.39685864045872699</v>
      </c>
    </row>
    <row r="323" spans="10:11">
      <c r="J323" s="438">
        <v>0.4329816709750634</v>
      </c>
      <c r="K323" s="439">
        <v>0.39691570106395324</v>
      </c>
    </row>
    <row r="324" spans="10:11">
      <c r="J324" s="438">
        <v>0.43308478746583917</v>
      </c>
      <c r="K324" s="439">
        <v>0.39697467592751279</v>
      </c>
    </row>
    <row r="325" spans="10:11">
      <c r="J325" s="438">
        <v>0.43318815227825003</v>
      </c>
      <c r="K325" s="439">
        <v>0.39703554708509087</v>
      </c>
    </row>
    <row r="326" spans="10:11">
      <c r="J326" s="438">
        <v>0.43329173392637271</v>
      </c>
      <c r="K326" s="439">
        <v>0.39709829599474322</v>
      </c>
    </row>
    <row r="327" spans="10:11">
      <c r="J327" s="438">
        <v>0.43339550085823386</v>
      </c>
      <c r="K327" s="439">
        <v>0.39716290354254413</v>
      </c>
    </row>
    <row r="328" spans="10:11">
      <c r="J328" s="438">
        <v>0.43349942146542075</v>
      </c>
      <c r="K328" s="439">
        <v>0.39722935004840865</v>
      </c>
    </row>
    <row r="329" spans="10:11">
      <c r="J329" s="438">
        <v>0.43360346409270978</v>
      </c>
      <c r="K329" s="439">
        <v>0.3972976152720874</v>
      </c>
    </row>
    <row r="330" spans="10:11">
      <c r="J330" s="438">
        <v>0.43370759704770878</v>
      </c>
      <c r="K330" s="439">
        <v>0.39736767841933196</v>
      </c>
    </row>
    <row r="331" spans="10:11">
      <c r="J331" s="438">
        <v>0.4338117886105109</v>
      </c>
      <c r="K331" s="439">
        <v>0.39743951814822892</v>
      </c>
    </row>
    <row r="332" spans="10:11">
      <c r="J332" s="438">
        <v>0.43391600704335676</v>
      </c>
      <c r="K332" s="439">
        <v>0.39751311257570104</v>
      </c>
    </row>
    <row r="333" spans="10:11">
      <c r="J333" s="438">
        <v>0.43402022060030221</v>
      </c>
      <c r="K333" s="439">
        <v>0.39758843928417265</v>
      </c>
    </row>
    <row r="334" spans="10:11">
      <c r="J334" s="438">
        <v>0.43412439753688814</v>
      </c>
      <c r="K334" s="439">
        <v>0.39766547532839874</v>
      </c>
    </row>
    <row r="335" spans="10:11">
      <c r="J335" s="438">
        <v>0.43422850611981056</v>
      </c>
      <c r="K335" s="439">
        <v>0.39774419724245397</v>
      </c>
    </row>
    <row r="336" spans="10:11">
      <c r="J336" s="438">
        <v>0.43433251463658662</v>
      </c>
      <c r="K336" s="439">
        <v>0.39782458104688068</v>
      </c>
    </row>
    <row r="337" spans="10:11">
      <c r="J337" s="438">
        <v>0.43443639140521445</v>
      </c>
      <c r="K337" s="439">
        <v>0.39790660225599334</v>
      </c>
    </row>
    <row r="338" spans="10:11">
      <c r="J338" s="438">
        <v>0.43454010478382415</v>
      </c>
      <c r="K338" s="439">
        <v>0.39799023588533711</v>
      </c>
    </row>
    <row r="339" spans="10:11">
      <c r="J339" s="438">
        <v>0.43464362318031585</v>
      </c>
      <c r="K339" s="439">
        <v>0.39807545645929837</v>
      </c>
    </row>
    <row r="340" spans="10:11">
      <c r="J340" s="438">
        <v>0.43474691506198315</v>
      </c>
      <c r="K340" s="439">
        <v>0.39816223801886469</v>
      </c>
    </row>
    <row r="341" spans="10:11">
      <c r="J341" s="438">
        <v>0.43484994896511836</v>
      </c>
      <c r="K341" s="439">
        <v>0.39825055412953231</v>
      </c>
    </row>
    <row r="342" spans="10:11">
      <c r="J342" s="438">
        <v>0.43495269350459648</v>
      </c>
      <c r="K342" s="439">
        <v>0.3983403778893585</v>
      </c>
    </row>
    <row r="343" spans="10:11">
      <c r="J343" s="438">
        <v>0.43505511738343533</v>
      </c>
      <c r="K343" s="439">
        <v>0.39843168193715578</v>
      </c>
    </row>
    <row r="344" spans="10:11">
      <c r="J344" s="438">
        <v>0.43515718940232939</v>
      </c>
      <c r="K344" s="439">
        <v>0.39852443846082669</v>
      </c>
    </row>
    <row r="345" spans="10:11">
      <c r="J345" s="438">
        <v>0.43525887846915279</v>
      </c>
      <c r="K345" s="439">
        <v>0.39861861920583569</v>
      </c>
    </row>
    <row r="346" spans="10:11">
      <c r="J346" s="438">
        <v>0.43536015360843078</v>
      </c>
      <c r="K346" s="439">
        <v>0.39871419548381537</v>
      </c>
    </row>
    <row r="347" spans="10:11">
      <c r="J347" s="438">
        <v>0.43546098397077476</v>
      </c>
      <c r="K347" s="439">
        <v>0.3988111381813057</v>
      </c>
    </row>
    <row r="348" spans="10:11">
      <c r="J348" s="438">
        <v>0.43556133884227966</v>
      </c>
      <c r="K348" s="439">
        <v>0.39890941776862182</v>
      </c>
    </row>
    <row r="349" spans="10:11">
      <c r="J349" s="438">
        <v>0.43566118765387946</v>
      </c>
      <c r="K349" s="439">
        <v>0.39900900430884945</v>
      </c>
    </row>
    <row r="350" spans="10:11">
      <c r="J350" s="438">
        <v>0.43576049999065891</v>
      </c>
      <c r="K350" s="439">
        <v>0.39910986746696364</v>
      </c>
    </row>
    <row r="351" spans="10:11">
      <c r="J351" s="438">
        <v>0.43585924560111811</v>
      </c>
      <c r="K351" s="439">
        <v>0.39921197651906942</v>
      </c>
    </row>
    <row r="352" spans="10:11">
      <c r="J352" s="438">
        <v>0.43595739440638759</v>
      </c>
      <c r="K352" s="439">
        <v>0.39931530036176038</v>
      </c>
    </row>
    <row r="353" spans="10:11">
      <c r="J353" s="438">
        <v>0.43605491650939043</v>
      </c>
      <c r="K353" s="439">
        <v>0.39941980752159301</v>
      </c>
    </row>
    <row r="354" spans="10:11">
      <c r="J354" s="438">
        <v>0.4361517822039494</v>
      </c>
      <c r="K354" s="439">
        <v>0.39952546616467416</v>
      </c>
    </row>
    <row r="355" spans="10:11">
      <c r="J355" s="438">
        <v>0.43624796198383547</v>
      </c>
      <c r="K355" s="439">
        <v>0.39963224410635756</v>
      </c>
    </row>
    <row r="356" spans="10:11">
      <c r="J356" s="438">
        <v>0.43634342655175612</v>
      </c>
      <c r="K356" s="439">
        <v>0.39974010882104777</v>
      </c>
    </row>
    <row r="357" spans="10:11">
      <c r="J357" s="438">
        <v>0.43643814682827908</v>
      </c>
      <c r="K357" s="439">
        <v>0.39984902745210782</v>
      </c>
    </row>
    <row r="358" spans="10:11">
      <c r="J358" s="438">
        <v>0.43653209396069054</v>
      </c>
      <c r="K358" s="439">
        <v>0.39995896682186755</v>
      </c>
    </row>
    <row r="359" spans="10:11">
      <c r="J359" s="438">
        <v>0.43662523933178393</v>
      </c>
      <c r="K359" s="439">
        <v>0.40006989344172994</v>
      </c>
    </row>
    <row r="360" spans="10:11">
      <c r="J360" s="438">
        <v>0.43671755456857692</v>
      </c>
      <c r="K360" s="439">
        <v>0.400181773522372</v>
      </c>
    </row>
    <row r="361" spans="10:11">
      <c r="J361" s="438">
        <v>0.43680901155095397</v>
      </c>
      <c r="K361" s="439">
        <v>0.40029457298403737</v>
      </c>
    </row>
    <row r="362" spans="10:11">
      <c r="J362" s="438">
        <v>0.43689958242023241</v>
      </c>
      <c r="K362" s="439">
        <v>0.40040825746691727</v>
      </c>
    </row>
    <row r="363" spans="10:11">
      <c r="J363" s="438">
        <v>0.43698923958764807</v>
      </c>
      <c r="K363" s="439">
        <v>0.40052279234161697</v>
      </c>
    </row>
    <row r="364" spans="10:11">
      <c r="J364" s="438">
        <v>0.43707795574275915</v>
      </c>
      <c r="K364" s="439">
        <v>0.40063814271970416</v>
      </c>
    </row>
    <row r="365" spans="10:11">
      <c r="J365" s="438">
        <v>0.43716570386176545</v>
      </c>
      <c r="K365" s="439">
        <v>0.40075427346433617</v>
      </c>
    </row>
    <row r="366" spans="10:11">
      <c r="J366" s="438">
        <v>0.43725245721573985</v>
      </c>
      <c r="K366" s="439">
        <v>0.40087114920096323</v>
      </c>
    </row>
    <row r="367" spans="10:11">
      <c r="J367" s="438">
        <v>0.43733818937877039</v>
      </c>
      <c r="K367" s="439">
        <v>0.40098873432810372</v>
      </c>
    </row>
    <row r="368" spans="10:11">
      <c r="J368" s="438">
        <v>0.43742287423600967</v>
      </c>
      <c r="K368" s="439">
        <v>0.40110699302818892</v>
      </c>
    </row>
    <row r="369" spans="10:11">
      <c r="J369" s="438">
        <v>0.43750648599162978</v>
      </c>
      <c r="K369" s="439">
        <v>0.40122588927847314</v>
      </c>
    </row>
    <row r="370" spans="10:11">
      <c r="J370" s="438">
        <v>0.43758899917668009</v>
      </c>
      <c r="K370" s="439">
        <v>0.40134538686200677</v>
      </c>
    </row>
    <row r="371" spans="10:11">
      <c r="J371" s="438">
        <v>0.43767038865684499</v>
      </c>
      <c r="K371" s="439">
        <v>0.40146544937866829</v>
      </c>
    </row>
    <row r="372" spans="10:11">
      <c r="J372" s="438">
        <v>0.43775062964010042</v>
      </c>
      <c r="K372" s="439">
        <v>0.40158604025625205</v>
      </c>
    </row>
    <row r="373" spans="10:11">
      <c r="J373" s="438">
        <v>0.43782969768426566</v>
      </c>
      <c r="K373" s="439">
        <v>0.40170712276160847</v>
      </c>
    </row>
    <row r="374" spans="10:11">
      <c r="J374" s="438">
        <v>0.43790756870444836</v>
      </c>
      <c r="K374" s="439">
        <v>0.40182866001183359</v>
      </c>
    </row>
    <row r="375" spans="10:11">
      <c r="J375" s="438">
        <v>0.43798421898038153</v>
      </c>
      <c r="K375" s="439">
        <v>0.40195061498550355</v>
      </c>
    </row>
    <row r="376" spans="10:11">
      <c r="J376" s="438">
        <v>0.4380596251636486</v>
      </c>
      <c r="K376" s="439">
        <v>0.40207295053395203</v>
      </c>
    </row>
    <row r="377" spans="10:11">
      <c r="J377" s="438">
        <v>0.43813376428479556</v>
      </c>
      <c r="K377" s="439">
        <v>0.4021956293925858</v>
      </c>
    </row>
    <row r="378" spans="10:11">
      <c r="J378" s="438">
        <v>0.43820661376032799</v>
      </c>
      <c r="K378" s="439">
        <v>0.40231861419223613</v>
      </c>
    </row>
    <row r="379" spans="10:11">
      <c r="J379" s="438">
        <v>0.43827815139958998</v>
      </c>
      <c r="K379" s="439">
        <v>0.40244186747054173</v>
      </c>
    </row>
    <row r="380" spans="10:11">
      <c r="J380" s="438">
        <v>0.4383483554115235</v>
      </c>
      <c r="K380" s="439">
        <v>0.40256535168335994</v>
      </c>
    </row>
    <row r="381" spans="10:11">
      <c r="J381" s="438">
        <v>0.43841720441130649</v>
      </c>
      <c r="K381" s="439">
        <v>0.40268902921620342</v>
      </c>
    </row>
    <row r="382" spans="10:11">
      <c r="J382" s="438">
        <v>0.43848467742686664</v>
      </c>
      <c r="K382" s="439">
        <v>0.40281286239569752</v>
      </c>
    </row>
    <row r="383" spans="10:11">
      <c r="J383" s="438">
        <v>0.43855075390526982</v>
      </c>
      <c r="K383" s="439">
        <v>0.4029368135010562</v>
      </c>
    </row>
    <row r="384" spans="10:11">
      <c r="J384" s="438">
        <v>0.43861541371898055</v>
      </c>
      <c r="K384" s="439">
        <v>0.40306084477557197</v>
      </c>
    </row>
    <row r="385" spans="10:11">
      <c r="J385" s="438">
        <v>0.43867863717199329</v>
      </c>
      <c r="K385" s="439">
        <v>0.4031849184381171</v>
      </c>
    </row>
    <row r="386" spans="10:11">
      <c r="J386" s="438">
        <v>0.43874040500583172</v>
      </c>
      <c r="K386" s="439">
        <v>0.40330899669465214</v>
      </c>
    </row>
    <row r="387" spans="10:11">
      <c r="J387" s="438">
        <v>0.4388006984054153</v>
      </c>
      <c r="K387" s="439">
        <v>0.4034330417497381</v>
      </c>
    </row>
    <row r="388" spans="10:11">
      <c r="J388" s="438">
        <v>0.43885949900479049</v>
      </c>
      <c r="K388" s="439">
        <v>0.40355701581804954</v>
      </c>
    </row>
    <row r="389" spans="10:11">
      <c r="J389" s="438">
        <v>0.43891678889272506</v>
      </c>
      <c r="K389" s="439">
        <v>0.4036808811358843</v>
      </c>
    </row>
    <row r="390" spans="10:11">
      <c r="J390" s="438">
        <v>0.4389725506181642</v>
      </c>
      <c r="K390" s="439">
        <v>0.40380459997266671</v>
      </c>
    </row>
    <row r="391" spans="10:11">
      <c r="J391" s="438">
        <v>0.43902676719554612</v>
      </c>
      <c r="K391" s="439">
        <v>0.40392813464244054</v>
      </c>
    </row>
    <row r="392" spans="10:11">
      <c r="J392" s="438">
        <v>0.43907942210997619</v>
      </c>
      <c r="K392" s="439">
        <v>0.40405144751534866</v>
      </c>
    </row>
    <row r="393" spans="10:11">
      <c r="J393" s="438">
        <v>0.43913049932225734</v>
      </c>
      <c r="K393" s="439">
        <v>0.40417450102909547</v>
      </c>
    </row>
    <row r="394" spans="10:11">
      <c r="J394" s="438">
        <v>0.439179983273776</v>
      </c>
      <c r="K394" s="439">
        <v>0.4042972577003886</v>
      </c>
    </row>
    <row r="395" spans="10:11">
      <c r="J395" s="438">
        <v>0.43922785889124111</v>
      </c>
      <c r="K395" s="439">
        <v>0.40441968013635687</v>
      </c>
    </row>
    <row r="396" spans="10:11">
      <c r="J396" s="438">
        <v>0.43927411159127577</v>
      </c>
      <c r="K396" s="439">
        <v>0.40454173104594021</v>
      </c>
    </row>
    <row r="397" spans="10:11">
      <c r="J397" s="438">
        <v>0.43931872728485954</v>
      </c>
      <c r="K397" s="439">
        <v>0.4046633732512494</v>
      </c>
    </row>
    <row r="398" spans="10:11">
      <c r="J398" s="438">
        <v>0.43936169238161998</v>
      </c>
      <c r="K398" s="439">
        <v>0.40478456969889021</v>
      </c>
    </row>
    <row r="399" spans="10:11">
      <c r="J399" s="438">
        <v>0.43940299379397241</v>
      </c>
      <c r="K399" s="439">
        <v>0.40490528347125065</v>
      </c>
    </row>
    <row r="400" spans="10:11">
      <c r="J400" s="438">
        <v>0.43944261894110648</v>
      </c>
      <c r="K400" s="439">
        <v>0.40502547779774634</v>
      </c>
    </row>
    <row r="401" spans="10:11">
      <c r="J401" s="438">
        <v>0.43948055575281852</v>
      </c>
      <c r="K401" s="439">
        <v>0.40514511606602099</v>
      </c>
    </row>
    <row r="402" spans="10:11">
      <c r="J402" s="438">
        <v>0.43951679267318816</v>
      </c>
      <c r="K402" s="439">
        <v>0.40526416183309916</v>
      </c>
    </row>
    <row r="403" spans="10:11">
      <c r="J403" s="438">
        <v>0.43955131866409852</v>
      </c>
      <c r="K403" s="439">
        <v>0.40538257883648704</v>
      </c>
    </row>
    <row r="404" spans="10:11">
      <c r="J404" s="438">
        <v>0.43958412320859819</v>
      </c>
      <c r="K404" s="439">
        <v>0.40550033100521815</v>
      </c>
    </row>
    <row r="405" spans="10:11">
      <c r="J405" s="438">
        <v>0.43961519631410523</v>
      </c>
      <c r="K405" s="439">
        <v>0.40561738247084128</v>
      </c>
    </row>
    <row r="406" spans="10:11">
      <c r="J406" s="438">
        <v>0.43964452851545061</v>
      </c>
      <c r="K406" s="439">
        <v>0.4057336975783461</v>
      </c>
    </row>
    <row r="407" spans="10:11">
      <c r="J407" s="438">
        <v>0.4396721108777617</v>
      </c>
      <c r="K407" s="439">
        <v>0.40584924089702407</v>
      </c>
    </row>
    <row r="408" spans="10:11">
      <c r="J408" s="438">
        <v>0.43969793499918369</v>
      </c>
      <c r="K408" s="439">
        <v>0.40596397723126104</v>
      </c>
    </row>
    <row r="409" spans="10:11">
      <c r="J409" s="438">
        <v>0.43972199301343912</v>
      </c>
      <c r="K409" s="439">
        <v>0.40607787163125814</v>
      </c>
    </row>
    <row r="410" spans="10:11">
      <c r="J410" s="438">
        <v>0.43974427759222373</v>
      </c>
      <c r="K410" s="439">
        <v>0.40619088940367776</v>
      </c>
    </row>
    <row r="411" spans="10:11">
      <c r="J411" s="438">
        <v>0.43976478194743895</v>
      </c>
      <c r="K411" s="439">
        <v>0.4063029961222116</v>
      </c>
    </row>
    <row r="412" spans="10:11">
      <c r="J412" s="438">
        <v>0.43978349983325959</v>
      </c>
      <c r="K412" s="439">
        <v>0.40641415763806726</v>
      </c>
    </row>
    <row r="413" spans="10:11">
      <c r="J413" s="438">
        <v>0.43980042554803622</v>
      </c>
      <c r="K413" s="439">
        <v>0.40652434009037008</v>
      </c>
    </row>
    <row r="414" spans="10:11">
      <c r="J414" s="438">
        <v>0.43981555393603228</v>
      </c>
      <c r="K414" s="439">
        <v>0.40663350991647779</v>
      </c>
    </row>
    <row r="415" spans="10:11">
      <c r="J415" s="438">
        <v>0.43982888038899415</v>
      </c>
      <c r="K415" s="439">
        <v>0.4067416338622038</v>
      </c>
    </row>
    <row r="416" spans="10:11">
      <c r="J416" s="438">
        <v>0.43984040084755516</v>
      </c>
      <c r="K416" s="439">
        <v>0.40684867899194677</v>
      </c>
    </row>
    <row r="417" spans="10:11">
      <c r="J417" s="438">
        <v>0.43985011180247202</v>
      </c>
      <c r="K417" s="439">
        <v>0.40695461269872329</v>
      </c>
    </row>
    <row r="418" spans="10:11">
      <c r="J418" s="438">
        <v>0.43985801029569388</v>
      </c>
      <c r="K418" s="439">
        <v>0.40705940271410002</v>
      </c>
    </row>
    <row r="419" spans="10:11">
      <c r="J419" s="438">
        <v>0.43986409392126308</v>
      </c>
      <c r="K419" s="439">
        <v>0.40716301711802311</v>
      </c>
    </row>
    <row r="420" spans="10:11">
      <c r="J420" s="438">
        <v>0.43986836082604841</v>
      </c>
      <c r="K420" s="439">
        <v>0.40726542434854146</v>
      </c>
    </row>
    <row r="421" spans="10:11">
      <c r="J421" s="438">
        <v>0.43987080971030934</v>
      </c>
      <c r="K421" s="439">
        <v>0.40736659321142066</v>
      </c>
    </row>
    <row r="422" spans="10:11">
      <c r="J422" s="438">
        <v>0.43987143982809196</v>
      </c>
      <c r="K422" s="439">
        <v>0.40746649288964487</v>
      </c>
    </row>
    <row r="423" spans="10:11">
      <c r="J423" s="438">
        <v>0.4398702509874563</v>
      </c>
      <c r="K423" s="439">
        <v>0.40756509295280452</v>
      </c>
    </row>
    <row r="424" spans="10:11">
      <c r="J424" s="438">
        <v>0.43986724355053475</v>
      </c>
      <c r="K424" s="439">
        <v>0.40766236336636513</v>
      </c>
    </row>
    <row r="425" spans="10:11">
      <c r="J425" s="438">
        <v>0.43986241843342166</v>
      </c>
      <c r="K425" s="439">
        <v>0.40775827450081642</v>
      </c>
    </row>
    <row r="426" spans="10:11">
      <c r="J426" s="438">
        <v>0.43985577710589457</v>
      </c>
      <c r="K426" s="439">
        <v>0.40785279714069783</v>
      </c>
    </row>
    <row r="427" spans="10:11">
      <c r="J427" s="438">
        <v>0.43984732159096612</v>
      </c>
      <c r="K427" s="439">
        <v>0.40794590249349749</v>
      </c>
    </row>
    <row r="428" spans="10:11">
      <c r="J428" s="438">
        <v>0.43983705446426807</v>
      </c>
      <c r="K428" s="439">
        <v>0.40803756219842302</v>
      </c>
    </row>
    <row r="429" spans="10:11">
      <c r="J429" s="438">
        <v>0.4398249788532666</v>
      </c>
      <c r="K429" s="439">
        <v>0.4081277483350404</v>
      </c>
    </row>
    <row r="430" spans="10:11">
      <c r="J430" s="438">
        <v>0.43981109843630994</v>
      </c>
      <c r="K430" s="439">
        <v>0.40821643343177877</v>
      </c>
    </row>
    <row r="431" spans="10:11">
      <c r="J431" s="438">
        <v>0.43979541744150746</v>
      </c>
      <c r="K431" s="439">
        <v>0.40830359047429854</v>
      </c>
    </row>
    <row r="432" spans="10:11">
      <c r="J432" s="438">
        <v>0.43977794064544207</v>
      </c>
      <c r="K432" s="439">
        <v>0.40838919291372028</v>
      </c>
    </row>
    <row r="433" spans="10:11">
      <c r="J433" s="438">
        <v>0.43975867337171526</v>
      </c>
      <c r="K433" s="439">
        <v>0.40847321467471159</v>
      </c>
    </row>
    <row r="434" spans="10:11">
      <c r="J434" s="438">
        <v>0.4397376214893251</v>
      </c>
      <c r="K434" s="439">
        <v>0.40855563016343027</v>
      </c>
    </row>
    <row r="435" spans="10:11">
      <c r="J435" s="438">
        <v>0.43971479141087905</v>
      </c>
      <c r="K435" s="439">
        <v>0.40863641427531999</v>
      </c>
    </row>
    <row r="436" spans="10:11">
      <c r="J436" s="438">
        <v>0.43969019009064009</v>
      </c>
      <c r="K436" s="439">
        <v>0.4087155424027577</v>
      </c>
    </row>
    <row r="437" spans="10:11">
      <c r="J437" s="438">
        <v>0.43966382502240864</v>
      </c>
      <c r="K437" s="439">
        <v>0.4087929904425493</v>
      </c>
    </row>
    <row r="438" spans="10:11">
      <c r="J438" s="438">
        <v>0.43963570423723997</v>
      </c>
      <c r="K438" s="439">
        <v>0.40886873480327157</v>
      </c>
    </row>
    <row r="439" spans="10:11">
      <c r="J439" s="438">
        <v>0.43960583630099764</v>
      </c>
      <c r="K439" s="439">
        <v>0.40894275241245848</v>
      </c>
    </row>
    <row r="440" spans="10:11">
      <c r="J440" s="438">
        <v>0.43957423031174431</v>
      </c>
      <c r="K440" s="439">
        <v>0.40901502072362927</v>
      </c>
    </row>
    <row r="441" spans="10:11">
      <c r="J441" s="438">
        <v>0.43954089589697054</v>
      </c>
      <c r="K441" s="439">
        <v>0.40908551772315627</v>
      </c>
    </row>
    <row r="442" spans="10:11">
      <c r="J442" s="438">
        <v>0.439505843210662</v>
      </c>
      <c r="K442" s="439">
        <v>0.40915422193697054</v>
      </c>
    </row>
    <row r="443" spans="10:11">
      <c r="J443" s="438">
        <v>0.43946908293020642</v>
      </c>
      <c r="K443" s="439">
        <v>0.40922111243710296</v>
      </c>
    </row>
    <row r="444" spans="10:11">
      <c r="J444" s="438">
        <v>0.43943062625314139</v>
      </c>
      <c r="K444" s="439">
        <v>0.40928616884805918</v>
      </c>
    </row>
    <row r="445" spans="10:11">
      <c r="J445" s="438">
        <v>0.43939048489374327</v>
      </c>
      <c r="K445" s="439">
        <v>0.40934937135302624</v>
      </c>
    </row>
    <row r="446" spans="10:11">
      <c r="J446" s="438">
        <v>0.43934867107945902</v>
      </c>
      <c r="K446" s="439">
        <v>0.40941070069990892</v>
      </c>
    </row>
    <row r="447" spans="10:11">
      <c r="J447" s="438">
        <v>0.43930519754718145</v>
      </c>
      <c r="K447" s="439">
        <v>0.40947013820719397</v>
      </c>
    </row>
    <row r="448" spans="10:11">
      <c r="J448" s="438">
        <v>0.43926007753936974</v>
      </c>
      <c r="K448" s="439">
        <v>0.40952766576964089</v>
      </c>
    </row>
    <row r="449" spans="10:11">
      <c r="J449" s="438">
        <v>0.43921332480001529</v>
      </c>
      <c r="K449" s="439">
        <v>0.4095832658637969</v>
      </c>
    </row>
    <row r="450" spans="10:11">
      <c r="J450" s="438">
        <v>0.43916495357045543</v>
      </c>
      <c r="K450" s="439">
        <v>0.40963692155333475</v>
      </c>
    </row>
    <row r="451" spans="10:11">
      <c r="J451" s="438">
        <v>0.43911497858503523</v>
      </c>
      <c r="K451" s="439">
        <v>0.40968861649421162</v>
      </c>
    </row>
    <row r="452" spans="10:11">
      <c r="J452" s="438">
        <v>0.43906341506661944</v>
      </c>
      <c r="K452" s="439">
        <v>0.40973833493964767</v>
      </c>
    </row>
    <row r="453" spans="10:11">
      <c r="J453" s="438">
        <v>0.43901027872195519</v>
      </c>
      <c r="K453" s="439">
        <v>0.40978606174492282</v>
      </c>
    </row>
    <row r="454" spans="10:11">
      <c r="J454" s="438">
        <v>0.43895558573688787</v>
      </c>
      <c r="K454" s="439">
        <v>0.40983178237198986</v>
      </c>
    </row>
    <row r="455" spans="10:11" ht="14.25" thickBot="1">
      <c r="J455" s="440">
        <v>0.4388993527714305</v>
      </c>
      <c r="K455" s="441">
        <v>0.40987548289390291</v>
      </c>
    </row>
  </sheetData>
  <sheetProtection password="A7EA" sheet="1" objects="1" scenarios="1"/>
  <phoneticPr fontId="7"/>
  <conditionalFormatting sqref="K30 D3:D9 I15 E15:G16 A16:B26 G17:G26 A31:B42 E31:I42 A46:B57 E46:J57 E17:F27">
    <cfRule type="cellIs" dxfId="99" priority="3" stopIfTrue="1" operator="equal">
      <formula>"記入"</formula>
    </cfRule>
  </conditionalFormatting>
  <conditionalFormatting sqref="J94:J95">
    <cfRule type="cellIs" dxfId="98" priority="4" stopIfTrue="1" operator="equal">
      <formula>"×"</formula>
    </cfRule>
  </conditionalFormatting>
  <conditionalFormatting sqref="D2">
    <cfRule type="cellIs" dxfId="97" priority="2" stopIfTrue="1" operator="equal">
      <formula>"記入"</formula>
    </cfRule>
  </conditionalFormatting>
  <conditionalFormatting sqref="A27:B27 G27">
    <cfRule type="cellIs" dxfId="96" priority="1" stopIfTrue="1" operator="equal">
      <formula>"記入"</formula>
    </cfRule>
  </conditionalFormatting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56"/>
  <sheetViews>
    <sheetView zoomScale="80" zoomScaleNormal="80" workbookViewId="0">
      <pane ySplit="11" topLeftCell="A12" activePane="bottomLeft" state="frozen"/>
      <selection activeCell="C4" sqref="C4"/>
      <selection pane="bottomLeft" activeCell="C4" sqref="C4"/>
    </sheetView>
  </sheetViews>
  <sheetFormatPr defaultRowHeight="13.5"/>
  <cols>
    <col min="1" max="3" width="9" style="345"/>
    <col min="4" max="4" width="11.625" style="345" customWidth="1"/>
    <col min="5" max="5" width="9.375" style="345" customWidth="1"/>
    <col min="6" max="6" width="11.375" style="345" bestFit="1" customWidth="1"/>
    <col min="7" max="10" width="9.25" style="345" bestFit="1" customWidth="1"/>
    <col min="11" max="11" width="9" style="345"/>
    <col min="12" max="12" width="9.5" style="345" bestFit="1" customWidth="1"/>
    <col min="13" max="13" width="9" style="345"/>
    <col min="14" max="14" width="9.75" style="345" bestFit="1" customWidth="1"/>
    <col min="15" max="15" width="9.25" style="345" bestFit="1" customWidth="1"/>
    <col min="16" max="259" width="9" style="345"/>
    <col min="260" max="260" width="11.625" style="345" customWidth="1"/>
    <col min="261" max="261" width="9.375" style="345" customWidth="1"/>
    <col min="262" max="262" width="11.375" style="345" bestFit="1" customWidth="1"/>
    <col min="263" max="266" width="9.25" style="345" bestFit="1" customWidth="1"/>
    <col min="267" max="267" width="9" style="345"/>
    <col min="268" max="268" width="9.5" style="345" bestFit="1" customWidth="1"/>
    <col min="269" max="269" width="9" style="345"/>
    <col min="270" max="270" width="9.75" style="345" bestFit="1" customWidth="1"/>
    <col min="271" max="271" width="9.25" style="345" bestFit="1" customWidth="1"/>
    <col min="272" max="515" width="9" style="345"/>
    <col min="516" max="516" width="11.625" style="345" customWidth="1"/>
    <col min="517" max="517" width="9.375" style="345" customWidth="1"/>
    <col min="518" max="518" width="11.375" style="345" bestFit="1" customWidth="1"/>
    <col min="519" max="522" width="9.25" style="345" bestFit="1" customWidth="1"/>
    <col min="523" max="523" width="9" style="345"/>
    <col min="524" max="524" width="9.5" style="345" bestFit="1" customWidth="1"/>
    <col min="525" max="525" width="9" style="345"/>
    <col min="526" max="526" width="9.75" style="345" bestFit="1" customWidth="1"/>
    <col min="527" max="527" width="9.25" style="345" bestFit="1" customWidth="1"/>
    <col min="528" max="771" width="9" style="345"/>
    <col min="772" max="772" width="11.625" style="345" customWidth="1"/>
    <col min="773" max="773" width="9.375" style="345" customWidth="1"/>
    <col min="774" max="774" width="11.375" style="345" bestFit="1" customWidth="1"/>
    <col min="775" max="778" width="9.25" style="345" bestFit="1" customWidth="1"/>
    <col min="779" max="779" width="9" style="345"/>
    <col min="780" max="780" width="9.5" style="345" bestFit="1" customWidth="1"/>
    <col min="781" max="781" width="9" style="345"/>
    <col min="782" max="782" width="9.75" style="345" bestFit="1" customWidth="1"/>
    <col min="783" max="783" width="9.25" style="345" bestFit="1" customWidth="1"/>
    <col min="784" max="1027" width="9" style="345"/>
    <col min="1028" max="1028" width="11.625" style="345" customWidth="1"/>
    <col min="1029" max="1029" width="9.375" style="345" customWidth="1"/>
    <col min="1030" max="1030" width="11.375" style="345" bestFit="1" customWidth="1"/>
    <col min="1031" max="1034" width="9.25" style="345" bestFit="1" customWidth="1"/>
    <col min="1035" max="1035" width="9" style="345"/>
    <col min="1036" max="1036" width="9.5" style="345" bestFit="1" customWidth="1"/>
    <col min="1037" max="1037" width="9" style="345"/>
    <col min="1038" max="1038" width="9.75" style="345" bestFit="1" customWidth="1"/>
    <col min="1039" max="1039" width="9.25" style="345" bestFit="1" customWidth="1"/>
    <col min="1040" max="1283" width="9" style="345"/>
    <col min="1284" max="1284" width="11.625" style="345" customWidth="1"/>
    <col min="1285" max="1285" width="9.375" style="345" customWidth="1"/>
    <col min="1286" max="1286" width="11.375" style="345" bestFit="1" customWidth="1"/>
    <col min="1287" max="1290" width="9.25" style="345" bestFit="1" customWidth="1"/>
    <col min="1291" max="1291" width="9" style="345"/>
    <col min="1292" max="1292" width="9.5" style="345" bestFit="1" customWidth="1"/>
    <col min="1293" max="1293" width="9" style="345"/>
    <col min="1294" max="1294" width="9.75" style="345" bestFit="1" customWidth="1"/>
    <col min="1295" max="1295" width="9.25" style="345" bestFit="1" customWidth="1"/>
    <col min="1296" max="1539" width="9" style="345"/>
    <col min="1540" max="1540" width="11.625" style="345" customWidth="1"/>
    <col min="1541" max="1541" width="9.375" style="345" customWidth="1"/>
    <col min="1542" max="1542" width="11.375" style="345" bestFit="1" customWidth="1"/>
    <col min="1543" max="1546" width="9.25" style="345" bestFit="1" customWidth="1"/>
    <col min="1547" max="1547" width="9" style="345"/>
    <col min="1548" max="1548" width="9.5" style="345" bestFit="1" customWidth="1"/>
    <col min="1549" max="1549" width="9" style="345"/>
    <col min="1550" max="1550" width="9.75" style="345" bestFit="1" customWidth="1"/>
    <col min="1551" max="1551" width="9.25" style="345" bestFit="1" customWidth="1"/>
    <col min="1552" max="1795" width="9" style="345"/>
    <col min="1796" max="1796" width="11.625" style="345" customWidth="1"/>
    <col min="1797" max="1797" width="9.375" style="345" customWidth="1"/>
    <col min="1798" max="1798" width="11.375" style="345" bestFit="1" customWidth="1"/>
    <col min="1799" max="1802" width="9.25" style="345" bestFit="1" customWidth="1"/>
    <col min="1803" max="1803" width="9" style="345"/>
    <col min="1804" max="1804" width="9.5" style="345" bestFit="1" customWidth="1"/>
    <col min="1805" max="1805" width="9" style="345"/>
    <col min="1806" max="1806" width="9.75" style="345" bestFit="1" customWidth="1"/>
    <col min="1807" max="1807" width="9.25" style="345" bestFit="1" customWidth="1"/>
    <col min="1808" max="2051" width="9" style="345"/>
    <col min="2052" max="2052" width="11.625" style="345" customWidth="1"/>
    <col min="2053" max="2053" width="9.375" style="345" customWidth="1"/>
    <col min="2054" max="2054" width="11.375" style="345" bestFit="1" customWidth="1"/>
    <col min="2055" max="2058" width="9.25" style="345" bestFit="1" customWidth="1"/>
    <col min="2059" max="2059" width="9" style="345"/>
    <col min="2060" max="2060" width="9.5" style="345" bestFit="1" customWidth="1"/>
    <col min="2061" max="2061" width="9" style="345"/>
    <col min="2062" max="2062" width="9.75" style="345" bestFit="1" customWidth="1"/>
    <col min="2063" max="2063" width="9.25" style="345" bestFit="1" customWidth="1"/>
    <col min="2064" max="2307" width="9" style="345"/>
    <col min="2308" max="2308" width="11.625" style="345" customWidth="1"/>
    <col min="2309" max="2309" width="9.375" style="345" customWidth="1"/>
    <col min="2310" max="2310" width="11.375" style="345" bestFit="1" customWidth="1"/>
    <col min="2311" max="2314" width="9.25" style="345" bestFit="1" customWidth="1"/>
    <col min="2315" max="2315" width="9" style="345"/>
    <col min="2316" max="2316" width="9.5" style="345" bestFit="1" customWidth="1"/>
    <col min="2317" max="2317" width="9" style="345"/>
    <col min="2318" max="2318" width="9.75" style="345" bestFit="1" customWidth="1"/>
    <col min="2319" max="2319" width="9.25" style="345" bestFit="1" customWidth="1"/>
    <col min="2320" max="2563" width="9" style="345"/>
    <col min="2564" max="2564" width="11.625" style="345" customWidth="1"/>
    <col min="2565" max="2565" width="9.375" style="345" customWidth="1"/>
    <col min="2566" max="2566" width="11.375" style="345" bestFit="1" customWidth="1"/>
    <col min="2567" max="2570" width="9.25" style="345" bestFit="1" customWidth="1"/>
    <col min="2571" max="2571" width="9" style="345"/>
    <col min="2572" max="2572" width="9.5" style="345" bestFit="1" customWidth="1"/>
    <col min="2573" max="2573" width="9" style="345"/>
    <col min="2574" max="2574" width="9.75" style="345" bestFit="1" customWidth="1"/>
    <col min="2575" max="2575" width="9.25" style="345" bestFit="1" customWidth="1"/>
    <col min="2576" max="2819" width="9" style="345"/>
    <col min="2820" max="2820" width="11.625" style="345" customWidth="1"/>
    <col min="2821" max="2821" width="9.375" style="345" customWidth="1"/>
    <col min="2822" max="2822" width="11.375" style="345" bestFit="1" customWidth="1"/>
    <col min="2823" max="2826" width="9.25" style="345" bestFit="1" customWidth="1"/>
    <col min="2827" max="2827" width="9" style="345"/>
    <col min="2828" max="2828" width="9.5" style="345" bestFit="1" customWidth="1"/>
    <col min="2829" max="2829" width="9" style="345"/>
    <col min="2830" max="2830" width="9.75" style="345" bestFit="1" customWidth="1"/>
    <col min="2831" max="2831" width="9.25" style="345" bestFit="1" customWidth="1"/>
    <col min="2832" max="3075" width="9" style="345"/>
    <col min="3076" max="3076" width="11.625" style="345" customWidth="1"/>
    <col min="3077" max="3077" width="9.375" style="345" customWidth="1"/>
    <col min="3078" max="3078" width="11.375" style="345" bestFit="1" customWidth="1"/>
    <col min="3079" max="3082" width="9.25" style="345" bestFit="1" customWidth="1"/>
    <col min="3083" max="3083" width="9" style="345"/>
    <col min="3084" max="3084" width="9.5" style="345" bestFit="1" customWidth="1"/>
    <col min="3085" max="3085" width="9" style="345"/>
    <col min="3086" max="3086" width="9.75" style="345" bestFit="1" customWidth="1"/>
    <col min="3087" max="3087" width="9.25" style="345" bestFit="1" customWidth="1"/>
    <col min="3088" max="3331" width="9" style="345"/>
    <col min="3332" max="3332" width="11.625" style="345" customWidth="1"/>
    <col min="3333" max="3333" width="9.375" style="345" customWidth="1"/>
    <col min="3334" max="3334" width="11.375" style="345" bestFit="1" customWidth="1"/>
    <col min="3335" max="3338" width="9.25" style="345" bestFit="1" customWidth="1"/>
    <col min="3339" max="3339" width="9" style="345"/>
    <col min="3340" max="3340" width="9.5" style="345" bestFit="1" customWidth="1"/>
    <col min="3341" max="3341" width="9" style="345"/>
    <col min="3342" max="3342" width="9.75" style="345" bestFit="1" customWidth="1"/>
    <col min="3343" max="3343" width="9.25" style="345" bestFit="1" customWidth="1"/>
    <col min="3344" max="3587" width="9" style="345"/>
    <col min="3588" max="3588" width="11.625" style="345" customWidth="1"/>
    <col min="3589" max="3589" width="9.375" style="345" customWidth="1"/>
    <col min="3590" max="3590" width="11.375" style="345" bestFit="1" customWidth="1"/>
    <col min="3591" max="3594" width="9.25" style="345" bestFit="1" customWidth="1"/>
    <col min="3595" max="3595" width="9" style="345"/>
    <col min="3596" max="3596" width="9.5" style="345" bestFit="1" customWidth="1"/>
    <col min="3597" max="3597" width="9" style="345"/>
    <col min="3598" max="3598" width="9.75" style="345" bestFit="1" customWidth="1"/>
    <col min="3599" max="3599" width="9.25" style="345" bestFit="1" customWidth="1"/>
    <col min="3600" max="3843" width="9" style="345"/>
    <col min="3844" max="3844" width="11.625" style="345" customWidth="1"/>
    <col min="3845" max="3845" width="9.375" style="345" customWidth="1"/>
    <col min="3846" max="3846" width="11.375" style="345" bestFit="1" customWidth="1"/>
    <col min="3847" max="3850" width="9.25" style="345" bestFit="1" customWidth="1"/>
    <col min="3851" max="3851" width="9" style="345"/>
    <col min="3852" max="3852" width="9.5" style="345" bestFit="1" customWidth="1"/>
    <col min="3853" max="3853" width="9" style="345"/>
    <col min="3854" max="3854" width="9.75" style="345" bestFit="1" customWidth="1"/>
    <col min="3855" max="3855" width="9.25" style="345" bestFit="1" customWidth="1"/>
    <col min="3856" max="4099" width="9" style="345"/>
    <col min="4100" max="4100" width="11.625" style="345" customWidth="1"/>
    <col min="4101" max="4101" width="9.375" style="345" customWidth="1"/>
    <col min="4102" max="4102" width="11.375" style="345" bestFit="1" customWidth="1"/>
    <col min="4103" max="4106" width="9.25" style="345" bestFit="1" customWidth="1"/>
    <col min="4107" max="4107" width="9" style="345"/>
    <col min="4108" max="4108" width="9.5" style="345" bestFit="1" customWidth="1"/>
    <col min="4109" max="4109" width="9" style="345"/>
    <col min="4110" max="4110" width="9.75" style="345" bestFit="1" customWidth="1"/>
    <col min="4111" max="4111" width="9.25" style="345" bestFit="1" customWidth="1"/>
    <col min="4112" max="4355" width="9" style="345"/>
    <col min="4356" max="4356" width="11.625" style="345" customWidth="1"/>
    <col min="4357" max="4357" width="9.375" style="345" customWidth="1"/>
    <col min="4358" max="4358" width="11.375" style="345" bestFit="1" customWidth="1"/>
    <col min="4359" max="4362" width="9.25" style="345" bestFit="1" customWidth="1"/>
    <col min="4363" max="4363" width="9" style="345"/>
    <col min="4364" max="4364" width="9.5" style="345" bestFit="1" customWidth="1"/>
    <col min="4365" max="4365" width="9" style="345"/>
    <col min="4366" max="4366" width="9.75" style="345" bestFit="1" customWidth="1"/>
    <col min="4367" max="4367" width="9.25" style="345" bestFit="1" customWidth="1"/>
    <col min="4368" max="4611" width="9" style="345"/>
    <col min="4612" max="4612" width="11.625" style="345" customWidth="1"/>
    <col min="4613" max="4613" width="9.375" style="345" customWidth="1"/>
    <col min="4614" max="4614" width="11.375" style="345" bestFit="1" customWidth="1"/>
    <col min="4615" max="4618" width="9.25" style="345" bestFit="1" customWidth="1"/>
    <col min="4619" max="4619" width="9" style="345"/>
    <col min="4620" max="4620" width="9.5" style="345" bestFit="1" customWidth="1"/>
    <col min="4621" max="4621" width="9" style="345"/>
    <col min="4622" max="4622" width="9.75" style="345" bestFit="1" customWidth="1"/>
    <col min="4623" max="4623" width="9.25" style="345" bestFit="1" customWidth="1"/>
    <col min="4624" max="4867" width="9" style="345"/>
    <col min="4868" max="4868" width="11.625" style="345" customWidth="1"/>
    <col min="4869" max="4869" width="9.375" style="345" customWidth="1"/>
    <col min="4870" max="4870" width="11.375" style="345" bestFit="1" customWidth="1"/>
    <col min="4871" max="4874" width="9.25" style="345" bestFit="1" customWidth="1"/>
    <col min="4875" max="4875" width="9" style="345"/>
    <col min="4876" max="4876" width="9.5" style="345" bestFit="1" customWidth="1"/>
    <col min="4877" max="4877" width="9" style="345"/>
    <col min="4878" max="4878" width="9.75" style="345" bestFit="1" customWidth="1"/>
    <col min="4879" max="4879" width="9.25" style="345" bestFit="1" customWidth="1"/>
    <col min="4880" max="5123" width="9" style="345"/>
    <col min="5124" max="5124" width="11.625" style="345" customWidth="1"/>
    <col min="5125" max="5125" width="9.375" style="345" customWidth="1"/>
    <col min="5126" max="5126" width="11.375" style="345" bestFit="1" customWidth="1"/>
    <col min="5127" max="5130" width="9.25" style="345" bestFit="1" customWidth="1"/>
    <col min="5131" max="5131" width="9" style="345"/>
    <col min="5132" max="5132" width="9.5" style="345" bestFit="1" customWidth="1"/>
    <col min="5133" max="5133" width="9" style="345"/>
    <col min="5134" max="5134" width="9.75" style="345" bestFit="1" customWidth="1"/>
    <col min="5135" max="5135" width="9.25" style="345" bestFit="1" customWidth="1"/>
    <col min="5136" max="5379" width="9" style="345"/>
    <col min="5380" max="5380" width="11.625" style="345" customWidth="1"/>
    <col min="5381" max="5381" width="9.375" style="345" customWidth="1"/>
    <col min="5382" max="5382" width="11.375" style="345" bestFit="1" customWidth="1"/>
    <col min="5383" max="5386" width="9.25" style="345" bestFit="1" customWidth="1"/>
    <col min="5387" max="5387" width="9" style="345"/>
    <col min="5388" max="5388" width="9.5" style="345" bestFit="1" customWidth="1"/>
    <col min="5389" max="5389" width="9" style="345"/>
    <col min="5390" max="5390" width="9.75" style="345" bestFit="1" customWidth="1"/>
    <col min="5391" max="5391" width="9.25" style="345" bestFit="1" customWidth="1"/>
    <col min="5392" max="5635" width="9" style="345"/>
    <col min="5636" max="5636" width="11.625" style="345" customWidth="1"/>
    <col min="5637" max="5637" width="9.375" style="345" customWidth="1"/>
    <col min="5638" max="5638" width="11.375" style="345" bestFit="1" customWidth="1"/>
    <col min="5639" max="5642" width="9.25" style="345" bestFit="1" customWidth="1"/>
    <col min="5643" max="5643" width="9" style="345"/>
    <col min="5644" max="5644" width="9.5" style="345" bestFit="1" customWidth="1"/>
    <col min="5645" max="5645" width="9" style="345"/>
    <col min="5646" max="5646" width="9.75" style="345" bestFit="1" customWidth="1"/>
    <col min="5647" max="5647" width="9.25" style="345" bestFit="1" customWidth="1"/>
    <col min="5648" max="5891" width="9" style="345"/>
    <col min="5892" max="5892" width="11.625" style="345" customWidth="1"/>
    <col min="5893" max="5893" width="9.375" style="345" customWidth="1"/>
    <col min="5894" max="5894" width="11.375" style="345" bestFit="1" customWidth="1"/>
    <col min="5895" max="5898" width="9.25" style="345" bestFit="1" customWidth="1"/>
    <col min="5899" max="5899" width="9" style="345"/>
    <col min="5900" max="5900" width="9.5" style="345" bestFit="1" customWidth="1"/>
    <col min="5901" max="5901" width="9" style="345"/>
    <col min="5902" max="5902" width="9.75" style="345" bestFit="1" customWidth="1"/>
    <col min="5903" max="5903" width="9.25" style="345" bestFit="1" customWidth="1"/>
    <col min="5904" max="6147" width="9" style="345"/>
    <col min="6148" max="6148" width="11.625" style="345" customWidth="1"/>
    <col min="6149" max="6149" width="9.375" style="345" customWidth="1"/>
    <col min="6150" max="6150" width="11.375" style="345" bestFit="1" customWidth="1"/>
    <col min="6151" max="6154" width="9.25" style="345" bestFit="1" customWidth="1"/>
    <col min="6155" max="6155" width="9" style="345"/>
    <col min="6156" max="6156" width="9.5" style="345" bestFit="1" customWidth="1"/>
    <col min="6157" max="6157" width="9" style="345"/>
    <col min="6158" max="6158" width="9.75" style="345" bestFit="1" customWidth="1"/>
    <col min="6159" max="6159" width="9.25" style="345" bestFit="1" customWidth="1"/>
    <col min="6160" max="6403" width="9" style="345"/>
    <col min="6404" max="6404" width="11.625" style="345" customWidth="1"/>
    <col min="6405" max="6405" width="9.375" style="345" customWidth="1"/>
    <col min="6406" max="6406" width="11.375" style="345" bestFit="1" customWidth="1"/>
    <col min="6407" max="6410" width="9.25" style="345" bestFit="1" customWidth="1"/>
    <col min="6411" max="6411" width="9" style="345"/>
    <col min="6412" max="6412" width="9.5" style="345" bestFit="1" customWidth="1"/>
    <col min="6413" max="6413" width="9" style="345"/>
    <col min="6414" max="6414" width="9.75" style="345" bestFit="1" customWidth="1"/>
    <col min="6415" max="6415" width="9.25" style="345" bestFit="1" customWidth="1"/>
    <col min="6416" max="6659" width="9" style="345"/>
    <col min="6660" max="6660" width="11.625" style="345" customWidth="1"/>
    <col min="6661" max="6661" width="9.375" style="345" customWidth="1"/>
    <col min="6662" max="6662" width="11.375" style="345" bestFit="1" customWidth="1"/>
    <col min="6663" max="6666" width="9.25" style="345" bestFit="1" customWidth="1"/>
    <col min="6667" max="6667" width="9" style="345"/>
    <col min="6668" max="6668" width="9.5" style="345" bestFit="1" customWidth="1"/>
    <col min="6669" max="6669" width="9" style="345"/>
    <col min="6670" max="6670" width="9.75" style="345" bestFit="1" customWidth="1"/>
    <col min="6671" max="6671" width="9.25" style="345" bestFit="1" customWidth="1"/>
    <col min="6672" max="6915" width="9" style="345"/>
    <col min="6916" max="6916" width="11.625" style="345" customWidth="1"/>
    <col min="6917" max="6917" width="9.375" style="345" customWidth="1"/>
    <col min="6918" max="6918" width="11.375" style="345" bestFit="1" customWidth="1"/>
    <col min="6919" max="6922" width="9.25" style="345" bestFit="1" customWidth="1"/>
    <col min="6923" max="6923" width="9" style="345"/>
    <col min="6924" max="6924" width="9.5" style="345" bestFit="1" customWidth="1"/>
    <col min="6925" max="6925" width="9" style="345"/>
    <col min="6926" max="6926" width="9.75" style="345" bestFit="1" customWidth="1"/>
    <col min="6927" max="6927" width="9.25" style="345" bestFit="1" customWidth="1"/>
    <col min="6928" max="7171" width="9" style="345"/>
    <col min="7172" max="7172" width="11.625" style="345" customWidth="1"/>
    <col min="7173" max="7173" width="9.375" style="345" customWidth="1"/>
    <col min="7174" max="7174" width="11.375" style="345" bestFit="1" customWidth="1"/>
    <col min="7175" max="7178" width="9.25" style="345" bestFit="1" customWidth="1"/>
    <col min="7179" max="7179" width="9" style="345"/>
    <col min="7180" max="7180" width="9.5" style="345" bestFit="1" customWidth="1"/>
    <col min="7181" max="7181" width="9" style="345"/>
    <col min="7182" max="7182" width="9.75" style="345" bestFit="1" customWidth="1"/>
    <col min="7183" max="7183" width="9.25" style="345" bestFit="1" customWidth="1"/>
    <col min="7184" max="7427" width="9" style="345"/>
    <col min="7428" max="7428" width="11.625" style="345" customWidth="1"/>
    <col min="7429" max="7429" width="9.375" style="345" customWidth="1"/>
    <col min="7430" max="7430" width="11.375" style="345" bestFit="1" customWidth="1"/>
    <col min="7431" max="7434" width="9.25" style="345" bestFit="1" customWidth="1"/>
    <col min="7435" max="7435" width="9" style="345"/>
    <col min="7436" max="7436" width="9.5" style="345" bestFit="1" customWidth="1"/>
    <col min="7437" max="7437" width="9" style="345"/>
    <col min="7438" max="7438" width="9.75" style="345" bestFit="1" customWidth="1"/>
    <col min="7439" max="7439" width="9.25" style="345" bestFit="1" customWidth="1"/>
    <col min="7440" max="7683" width="9" style="345"/>
    <col min="7684" max="7684" width="11.625" style="345" customWidth="1"/>
    <col min="7685" max="7685" width="9.375" style="345" customWidth="1"/>
    <col min="7686" max="7686" width="11.375" style="345" bestFit="1" customWidth="1"/>
    <col min="7687" max="7690" width="9.25" style="345" bestFit="1" customWidth="1"/>
    <col min="7691" max="7691" width="9" style="345"/>
    <col min="7692" max="7692" width="9.5" style="345" bestFit="1" customWidth="1"/>
    <col min="7693" max="7693" width="9" style="345"/>
    <col min="7694" max="7694" width="9.75" style="345" bestFit="1" customWidth="1"/>
    <col min="7695" max="7695" width="9.25" style="345" bestFit="1" customWidth="1"/>
    <col min="7696" max="7939" width="9" style="345"/>
    <col min="7940" max="7940" width="11.625" style="345" customWidth="1"/>
    <col min="7941" max="7941" width="9.375" style="345" customWidth="1"/>
    <col min="7942" max="7942" width="11.375" style="345" bestFit="1" customWidth="1"/>
    <col min="7943" max="7946" width="9.25" style="345" bestFit="1" customWidth="1"/>
    <col min="7947" max="7947" width="9" style="345"/>
    <col min="7948" max="7948" width="9.5" style="345" bestFit="1" customWidth="1"/>
    <col min="7949" max="7949" width="9" style="345"/>
    <col min="7950" max="7950" width="9.75" style="345" bestFit="1" customWidth="1"/>
    <col min="7951" max="7951" width="9.25" style="345" bestFit="1" customWidth="1"/>
    <col min="7952" max="8195" width="9" style="345"/>
    <col min="8196" max="8196" width="11.625" style="345" customWidth="1"/>
    <col min="8197" max="8197" width="9.375" style="345" customWidth="1"/>
    <col min="8198" max="8198" width="11.375" style="345" bestFit="1" customWidth="1"/>
    <col min="8199" max="8202" width="9.25" style="345" bestFit="1" customWidth="1"/>
    <col min="8203" max="8203" width="9" style="345"/>
    <col min="8204" max="8204" width="9.5" style="345" bestFit="1" customWidth="1"/>
    <col min="8205" max="8205" width="9" style="345"/>
    <col min="8206" max="8206" width="9.75" style="345" bestFit="1" customWidth="1"/>
    <col min="8207" max="8207" width="9.25" style="345" bestFit="1" customWidth="1"/>
    <col min="8208" max="8451" width="9" style="345"/>
    <col min="8452" max="8452" width="11.625" style="345" customWidth="1"/>
    <col min="8453" max="8453" width="9.375" style="345" customWidth="1"/>
    <col min="8454" max="8454" width="11.375" style="345" bestFit="1" customWidth="1"/>
    <col min="8455" max="8458" width="9.25" style="345" bestFit="1" customWidth="1"/>
    <col min="8459" max="8459" width="9" style="345"/>
    <col min="8460" max="8460" width="9.5" style="345" bestFit="1" customWidth="1"/>
    <col min="8461" max="8461" width="9" style="345"/>
    <col min="8462" max="8462" width="9.75" style="345" bestFit="1" customWidth="1"/>
    <col min="8463" max="8463" width="9.25" style="345" bestFit="1" customWidth="1"/>
    <col min="8464" max="8707" width="9" style="345"/>
    <col min="8708" max="8708" width="11.625" style="345" customWidth="1"/>
    <col min="8709" max="8709" width="9.375" style="345" customWidth="1"/>
    <col min="8710" max="8710" width="11.375" style="345" bestFit="1" customWidth="1"/>
    <col min="8711" max="8714" width="9.25" style="345" bestFit="1" customWidth="1"/>
    <col min="8715" max="8715" width="9" style="345"/>
    <col min="8716" max="8716" width="9.5" style="345" bestFit="1" customWidth="1"/>
    <col min="8717" max="8717" width="9" style="345"/>
    <col min="8718" max="8718" width="9.75" style="345" bestFit="1" customWidth="1"/>
    <col min="8719" max="8719" width="9.25" style="345" bestFit="1" customWidth="1"/>
    <col min="8720" max="8963" width="9" style="345"/>
    <col min="8964" max="8964" width="11.625" style="345" customWidth="1"/>
    <col min="8965" max="8965" width="9.375" style="345" customWidth="1"/>
    <col min="8966" max="8966" width="11.375" style="345" bestFit="1" customWidth="1"/>
    <col min="8967" max="8970" width="9.25" style="345" bestFit="1" customWidth="1"/>
    <col min="8971" max="8971" width="9" style="345"/>
    <col min="8972" max="8972" width="9.5" style="345" bestFit="1" customWidth="1"/>
    <col min="8973" max="8973" width="9" style="345"/>
    <col min="8974" max="8974" width="9.75" style="345" bestFit="1" customWidth="1"/>
    <col min="8975" max="8975" width="9.25" style="345" bestFit="1" customWidth="1"/>
    <col min="8976" max="9219" width="9" style="345"/>
    <col min="9220" max="9220" width="11.625" style="345" customWidth="1"/>
    <col min="9221" max="9221" width="9.375" style="345" customWidth="1"/>
    <col min="9222" max="9222" width="11.375" style="345" bestFit="1" customWidth="1"/>
    <col min="9223" max="9226" width="9.25" style="345" bestFit="1" customWidth="1"/>
    <col min="9227" max="9227" width="9" style="345"/>
    <col min="9228" max="9228" width="9.5" style="345" bestFit="1" customWidth="1"/>
    <col min="9229" max="9229" width="9" style="345"/>
    <col min="9230" max="9230" width="9.75" style="345" bestFit="1" customWidth="1"/>
    <col min="9231" max="9231" width="9.25" style="345" bestFit="1" customWidth="1"/>
    <col min="9232" max="9475" width="9" style="345"/>
    <col min="9476" max="9476" width="11.625" style="345" customWidth="1"/>
    <col min="9477" max="9477" width="9.375" style="345" customWidth="1"/>
    <col min="9478" max="9478" width="11.375" style="345" bestFit="1" customWidth="1"/>
    <col min="9479" max="9482" width="9.25" style="345" bestFit="1" customWidth="1"/>
    <col min="9483" max="9483" width="9" style="345"/>
    <col min="9484" max="9484" width="9.5" style="345" bestFit="1" customWidth="1"/>
    <col min="9485" max="9485" width="9" style="345"/>
    <col min="9486" max="9486" width="9.75" style="345" bestFit="1" customWidth="1"/>
    <col min="9487" max="9487" width="9.25" style="345" bestFit="1" customWidth="1"/>
    <col min="9488" max="9731" width="9" style="345"/>
    <col min="9732" max="9732" width="11.625" style="345" customWidth="1"/>
    <col min="9733" max="9733" width="9.375" style="345" customWidth="1"/>
    <col min="9734" max="9734" width="11.375" style="345" bestFit="1" customWidth="1"/>
    <col min="9735" max="9738" width="9.25" style="345" bestFit="1" customWidth="1"/>
    <col min="9739" max="9739" width="9" style="345"/>
    <col min="9740" max="9740" width="9.5" style="345" bestFit="1" customWidth="1"/>
    <col min="9741" max="9741" width="9" style="345"/>
    <col min="9742" max="9742" width="9.75" style="345" bestFit="1" customWidth="1"/>
    <col min="9743" max="9743" width="9.25" style="345" bestFit="1" customWidth="1"/>
    <col min="9744" max="9987" width="9" style="345"/>
    <col min="9988" max="9988" width="11.625" style="345" customWidth="1"/>
    <col min="9989" max="9989" width="9.375" style="345" customWidth="1"/>
    <col min="9990" max="9990" width="11.375" style="345" bestFit="1" customWidth="1"/>
    <col min="9991" max="9994" width="9.25" style="345" bestFit="1" customWidth="1"/>
    <col min="9995" max="9995" width="9" style="345"/>
    <col min="9996" max="9996" width="9.5" style="345" bestFit="1" customWidth="1"/>
    <col min="9997" max="9997" width="9" style="345"/>
    <col min="9998" max="9998" width="9.75" style="345" bestFit="1" customWidth="1"/>
    <col min="9999" max="9999" width="9.25" style="345" bestFit="1" customWidth="1"/>
    <col min="10000" max="10243" width="9" style="345"/>
    <col min="10244" max="10244" width="11.625" style="345" customWidth="1"/>
    <col min="10245" max="10245" width="9.375" style="345" customWidth="1"/>
    <col min="10246" max="10246" width="11.375" style="345" bestFit="1" customWidth="1"/>
    <col min="10247" max="10250" width="9.25" style="345" bestFit="1" customWidth="1"/>
    <col min="10251" max="10251" width="9" style="345"/>
    <col min="10252" max="10252" width="9.5" style="345" bestFit="1" customWidth="1"/>
    <col min="10253" max="10253" width="9" style="345"/>
    <col min="10254" max="10254" width="9.75" style="345" bestFit="1" customWidth="1"/>
    <col min="10255" max="10255" width="9.25" style="345" bestFit="1" customWidth="1"/>
    <col min="10256" max="10499" width="9" style="345"/>
    <col min="10500" max="10500" width="11.625" style="345" customWidth="1"/>
    <col min="10501" max="10501" width="9.375" style="345" customWidth="1"/>
    <col min="10502" max="10502" width="11.375" style="345" bestFit="1" customWidth="1"/>
    <col min="10503" max="10506" width="9.25" style="345" bestFit="1" customWidth="1"/>
    <col min="10507" max="10507" width="9" style="345"/>
    <col min="10508" max="10508" width="9.5" style="345" bestFit="1" customWidth="1"/>
    <col min="10509" max="10509" width="9" style="345"/>
    <col min="10510" max="10510" width="9.75" style="345" bestFit="1" customWidth="1"/>
    <col min="10511" max="10511" width="9.25" style="345" bestFit="1" customWidth="1"/>
    <col min="10512" max="10755" width="9" style="345"/>
    <col min="10756" max="10756" width="11.625" style="345" customWidth="1"/>
    <col min="10757" max="10757" width="9.375" style="345" customWidth="1"/>
    <col min="10758" max="10758" width="11.375" style="345" bestFit="1" customWidth="1"/>
    <col min="10759" max="10762" width="9.25" style="345" bestFit="1" customWidth="1"/>
    <col min="10763" max="10763" width="9" style="345"/>
    <col min="10764" max="10764" width="9.5" style="345" bestFit="1" customWidth="1"/>
    <col min="10765" max="10765" width="9" style="345"/>
    <col min="10766" max="10766" width="9.75" style="345" bestFit="1" customWidth="1"/>
    <col min="10767" max="10767" width="9.25" style="345" bestFit="1" customWidth="1"/>
    <col min="10768" max="11011" width="9" style="345"/>
    <col min="11012" max="11012" width="11.625" style="345" customWidth="1"/>
    <col min="11013" max="11013" width="9.375" style="345" customWidth="1"/>
    <col min="11014" max="11014" width="11.375" style="345" bestFit="1" customWidth="1"/>
    <col min="11015" max="11018" width="9.25" style="345" bestFit="1" customWidth="1"/>
    <col min="11019" max="11019" width="9" style="345"/>
    <col min="11020" max="11020" width="9.5" style="345" bestFit="1" customWidth="1"/>
    <col min="11021" max="11021" width="9" style="345"/>
    <col min="11022" max="11022" width="9.75" style="345" bestFit="1" customWidth="1"/>
    <col min="11023" max="11023" width="9.25" style="345" bestFit="1" customWidth="1"/>
    <col min="11024" max="11267" width="9" style="345"/>
    <col min="11268" max="11268" width="11.625" style="345" customWidth="1"/>
    <col min="11269" max="11269" width="9.375" style="345" customWidth="1"/>
    <col min="11270" max="11270" width="11.375" style="345" bestFit="1" customWidth="1"/>
    <col min="11271" max="11274" width="9.25" style="345" bestFit="1" customWidth="1"/>
    <col min="11275" max="11275" width="9" style="345"/>
    <col min="11276" max="11276" width="9.5" style="345" bestFit="1" customWidth="1"/>
    <col min="11277" max="11277" width="9" style="345"/>
    <col min="11278" max="11278" width="9.75" style="345" bestFit="1" customWidth="1"/>
    <col min="11279" max="11279" width="9.25" style="345" bestFit="1" customWidth="1"/>
    <col min="11280" max="11523" width="9" style="345"/>
    <col min="11524" max="11524" width="11.625" style="345" customWidth="1"/>
    <col min="11525" max="11525" width="9.375" style="345" customWidth="1"/>
    <col min="11526" max="11526" width="11.375" style="345" bestFit="1" customWidth="1"/>
    <col min="11527" max="11530" width="9.25" style="345" bestFit="1" customWidth="1"/>
    <col min="11531" max="11531" width="9" style="345"/>
    <col min="11532" max="11532" width="9.5" style="345" bestFit="1" customWidth="1"/>
    <col min="11533" max="11533" width="9" style="345"/>
    <col min="11534" max="11534" width="9.75" style="345" bestFit="1" customWidth="1"/>
    <col min="11535" max="11535" width="9.25" style="345" bestFit="1" customWidth="1"/>
    <col min="11536" max="11779" width="9" style="345"/>
    <col min="11780" max="11780" width="11.625" style="345" customWidth="1"/>
    <col min="11781" max="11781" width="9.375" style="345" customWidth="1"/>
    <col min="11782" max="11782" width="11.375" style="345" bestFit="1" customWidth="1"/>
    <col min="11783" max="11786" width="9.25" style="345" bestFit="1" customWidth="1"/>
    <col min="11787" max="11787" width="9" style="345"/>
    <col min="11788" max="11788" width="9.5" style="345" bestFit="1" customWidth="1"/>
    <col min="11789" max="11789" width="9" style="345"/>
    <col min="11790" max="11790" width="9.75" style="345" bestFit="1" customWidth="1"/>
    <col min="11791" max="11791" width="9.25" style="345" bestFit="1" customWidth="1"/>
    <col min="11792" max="12035" width="9" style="345"/>
    <col min="12036" max="12036" width="11.625" style="345" customWidth="1"/>
    <col min="12037" max="12037" width="9.375" style="345" customWidth="1"/>
    <col min="12038" max="12038" width="11.375" style="345" bestFit="1" customWidth="1"/>
    <col min="12039" max="12042" width="9.25" style="345" bestFit="1" customWidth="1"/>
    <col min="12043" max="12043" width="9" style="345"/>
    <col min="12044" max="12044" width="9.5" style="345" bestFit="1" customWidth="1"/>
    <col min="12045" max="12045" width="9" style="345"/>
    <col min="12046" max="12046" width="9.75" style="345" bestFit="1" customWidth="1"/>
    <col min="12047" max="12047" width="9.25" style="345" bestFit="1" customWidth="1"/>
    <col min="12048" max="12291" width="9" style="345"/>
    <col min="12292" max="12292" width="11.625" style="345" customWidth="1"/>
    <col min="12293" max="12293" width="9.375" style="345" customWidth="1"/>
    <col min="12294" max="12294" width="11.375" style="345" bestFit="1" customWidth="1"/>
    <col min="12295" max="12298" width="9.25" style="345" bestFit="1" customWidth="1"/>
    <col min="12299" max="12299" width="9" style="345"/>
    <col min="12300" max="12300" width="9.5" style="345" bestFit="1" customWidth="1"/>
    <col min="12301" max="12301" width="9" style="345"/>
    <col min="12302" max="12302" width="9.75" style="345" bestFit="1" customWidth="1"/>
    <col min="12303" max="12303" width="9.25" style="345" bestFit="1" customWidth="1"/>
    <col min="12304" max="12547" width="9" style="345"/>
    <col min="12548" max="12548" width="11.625" style="345" customWidth="1"/>
    <col min="12549" max="12549" width="9.375" style="345" customWidth="1"/>
    <col min="12550" max="12550" width="11.375" style="345" bestFit="1" customWidth="1"/>
    <col min="12551" max="12554" width="9.25" style="345" bestFit="1" customWidth="1"/>
    <col min="12555" max="12555" width="9" style="345"/>
    <col min="12556" max="12556" width="9.5" style="345" bestFit="1" customWidth="1"/>
    <col min="12557" max="12557" width="9" style="345"/>
    <col min="12558" max="12558" width="9.75" style="345" bestFit="1" customWidth="1"/>
    <col min="12559" max="12559" width="9.25" style="345" bestFit="1" customWidth="1"/>
    <col min="12560" max="12803" width="9" style="345"/>
    <col min="12804" max="12804" width="11.625" style="345" customWidth="1"/>
    <col min="12805" max="12805" width="9.375" style="345" customWidth="1"/>
    <col min="12806" max="12806" width="11.375" style="345" bestFit="1" customWidth="1"/>
    <col min="12807" max="12810" width="9.25" style="345" bestFit="1" customWidth="1"/>
    <col min="12811" max="12811" width="9" style="345"/>
    <col min="12812" max="12812" width="9.5" style="345" bestFit="1" customWidth="1"/>
    <col min="12813" max="12813" width="9" style="345"/>
    <col min="12814" max="12814" width="9.75" style="345" bestFit="1" customWidth="1"/>
    <col min="12815" max="12815" width="9.25" style="345" bestFit="1" customWidth="1"/>
    <col min="12816" max="13059" width="9" style="345"/>
    <col min="13060" max="13060" width="11.625" style="345" customWidth="1"/>
    <col min="13061" max="13061" width="9.375" style="345" customWidth="1"/>
    <col min="13062" max="13062" width="11.375" style="345" bestFit="1" customWidth="1"/>
    <col min="13063" max="13066" width="9.25" style="345" bestFit="1" customWidth="1"/>
    <col min="13067" max="13067" width="9" style="345"/>
    <col min="13068" max="13068" width="9.5" style="345" bestFit="1" customWidth="1"/>
    <col min="13069" max="13069" width="9" style="345"/>
    <col min="13070" max="13070" width="9.75" style="345" bestFit="1" customWidth="1"/>
    <col min="13071" max="13071" width="9.25" style="345" bestFit="1" customWidth="1"/>
    <col min="13072" max="13315" width="9" style="345"/>
    <col min="13316" max="13316" width="11.625" style="345" customWidth="1"/>
    <col min="13317" max="13317" width="9.375" style="345" customWidth="1"/>
    <col min="13318" max="13318" width="11.375" style="345" bestFit="1" customWidth="1"/>
    <col min="13319" max="13322" width="9.25" style="345" bestFit="1" customWidth="1"/>
    <col min="13323" max="13323" width="9" style="345"/>
    <col min="13324" max="13324" width="9.5" style="345" bestFit="1" customWidth="1"/>
    <col min="13325" max="13325" width="9" style="345"/>
    <col min="13326" max="13326" width="9.75" style="345" bestFit="1" customWidth="1"/>
    <col min="13327" max="13327" width="9.25" style="345" bestFit="1" customWidth="1"/>
    <col min="13328" max="13571" width="9" style="345"/>
    <col min="13572" max="13572" width="11.625" style="345" customWidth="1"/>
    <col min="13573" max="13573" width="9.375" style="345" customWidth="1"/>
    <col min="13574" max="13574" width="11.375" style="345" bestFit="1" customWidth="1"/>
    <col min="13575" max="13578" width="9.25" style="345" bestFit="1" customWidth="1"/>
    <col min="13579" max="13579" width="9" style="345"/>
    <col min="13580" max="13580" width="9.5" style="345" bestFit="1" customWidth="1"/>
    <col min="13581" max="13581" width="9" style="345"/>
    <col min="13582" max="13582" width="9.75" style="345" bestFit="1" customWidth="1"/>
    <col min="13583" max="13583" width="9.25" style="345" bestFit="1" customWidth="1"/>
    <col min="13584" max="13827" width="9" style="345"/>
    <col min="13828" max="13828" width="11.625" style="345" customWidth="1"/>
    <col min="13829" max="13829" width="9.375" style="345" customWidth="1"/>
    <col min="13830" max="13830" width="11.375" style="345" bestFit="1" customWidth="1"/>
    <col min="13831" max="13834" width="9.25" style="345" bestFit="1" customWidth="1"/>
    <col min="13835" max="13835" width="9" style="345"/>
    <col min="13836" max="13836" width="9.5" style="345" bestFit="1" customWidth="1"/>
    <col min="13837" max="13837" width="9" style="345"/>
    <col min="13838" max="13838" width="9.75" style="345" bestFit="1" customWidth="1"/>
    <col min="13839" max="13839" width="9.25" style="345" bestFit="1" customWidth="1"/>
    <col min="13840" max="14083" width="9" style="345"/>
    <col min="14084" max="14084" width="11.625" style="345" customWidth="1"/>
    <col min="14085" max="14085" width="9.375" style="345" customWidth="1"/>
    <col min="14086" max="14086" width="11.375" style="345" bestFit="1" customWidth="1"/>
    <col min="14087" max="14090" width="9.25" style="345" bestFit="1" customWidth="1"/>
    <col min="14091" max="14091" width="9" style="345"/>
    <col min="14092" max="14092" width="9.5" style="345" bestFit="1" customWidth="1"/>
    <col min="14093" max="14093" width="9" style="345"/>
    <col min="14094" max="14094" width="9.75" style="345" bestFit="1" customWidth="1"/>
    <col min="14095" max="14095" width="9.25" style="345" bestFit="1" customWidth="1"/>
    <col min="14096" max="14339" width="9" style="345"/>
    <col min="14340" max="14340" width="11.625" style="345" customWidth="1"/>
    <col min="14341" max="14341" width="9.375" style="345" customWidth="1"/>
    <col min="14342" max="14342" width="11.375" style="345" bestFit="1" customWidth="1"/>
    <col min="14343" max="14346" width="9.25" style="345" bestFit="1" customWidth="1"/>
    <col min="14347" max="14347" width="9" style="345"/>
    <col min="14348" max="14348" width="9.5" style="345" bestFit="1" customWidth="1"/>
    <col min="14349" max="14349" width="9" style="345"/>
    <col min="14350" max="14350" width="9.75" style="345" bestFit="1" customWidth="1"/>
    <col min="14351" max="14351" width="9.25" style="345" bestFit="1" customWidth="1"/>
    <col min="14352" max="14595" width="9" style="345"/>
    <col min="14596" max="14596" width="11.625" style="345" customWidth="1"/>
    <col min="14597" max="14597" width="9.375" style="345" customWidth="1"/>
    <col min="14598" max="14598" width="11.375" style="345" bestFit="1" customWidth="1"/>
    <col min="14599" max="14602" width="9.25" style="345" bestFit="1" customWidth="1"/>
    <col min="14603" max="14603" width="9" style="345"/>
    <col min="14604" max="14604" width="9.5" style="345" bestFit="1" customWidth="1"/>
    <col min="14605" max="14605" width="9" style="345"/>
    <col min="14606" max="14606" width="9.75" style="345" bestFit="1" customWidth="1"/>
    <col min="14607" max="14607" width="9.25" style="345" bestFit="1" customWidth="1"/>
    <col min="14608" max="14851" width="9" style="345"/>
    <col min="14852" max="14852" width="11.625" style="345" customWidth="1"/>
    <col min="14853" max="14853" width="9.375" style="345" customWidth="1"/>
    <col min="14854" max="14854" width="11.375" style="345" bestFit="1" customWidth="1"/>
    <col min="14855" max="14858" width="9.25" style="345" bestFit="1" customWidth="1"/>
    <col min="14859" max="14859" width="9" style="345"/>
    <col min="14860" max="14860" width="9.5" style="345" bestFit="1" customWidth="1"/>
    <col min="14861" max="14861" width="9" style="345"/>
    <col min="14862" max="14862" width="9.75" style="345" bestFit="1" customWidth="1"/>
    <col min="14863" max="14863" width="9.25" style="345" bestFit="1" customWidth="1"/>
    <col min="14864" max="15107" width="9" style="345"/>
    <col min="15108" max="15108" width="11.625" style="345" customWidth="1"/>
    <col min="15109" max="15109" width="9.375" style="345" customWidth="1"/>
    <col min="15110" max="15110" width="11.375" style="345" bestFit="1" customWidth="1"/>
    <col min="15111" max="15114" width="9.25" style="345" bestFit="1" customWidth="1"/>
    <col min="15115" max="15115" width="9" style="345"/>
    <col min="15116" max="15116" width="9.5" style="345" bestFit="1" customWidth="1"/>
    <col min="15117" max="15117" width="9" style="345"/>
    <col min="15118" max="15118" width="9.75" style="345" bestFit="1" customWidth="1"/>
    <col min="15119" max="15119" width="9.25" style="345" bestFit="1" customWidth="1"/>
    <col min="15120" max="15363" width="9" style="345"/>
    <col min="15364" max="15364" width="11.625" style="345" customWidth="1"/>
    <col min="15365" max="15365" width="9.375" style="345" customWidth="1"/>
    <col min="15366" max="15366" width="11.375" style="345" bestFit="1" customWidth="1"/>
    <col min="15367" max="15370" width="9.25" style="345" bestFit="1" customWidth="1"/>
    <col min="15371" max="15371" width="9" style="345"/>
    <col min="15372" max="15372" width="9.5" style="345" bestFit="1" customWidth="1"/>
    <col min="15373" max="15373" width="9" style="345"/>
    <col min="15374" max="15374" width="9.75" style="345" bestFit="1" customWidth="1"/>
    <col min="15375" max="15375" width="9.25" style="345" bestFit="1" customWidth="1"/>
    <col min="15376" max="15619" width="9" style="345"/>
    <col min="15620" max="15620" width="11.625" style="345" customWidth="1"/>
    <col min="15621" max="15621" width="9.375" style="345" customWidth="1"/>
    <col min="15622" max="15622" width="11.375" style="345" bestFit="1" customWidth="1"/>
    <col min="15623" max="15626" width="9.25" style="345" bestFit="1" customWidth="1"/>
    <col min="15627" max="15627" width="9" style="345"/>
    <col min="15628" max="15628" width="9.5" style="345" bestFit="1" customWidth="1"/>
    <col min="15629" max="15629" width="9" style="345"/>
    <col min="15630" max="15630" width="9.75" style="345" bestFit="1" customWidth="1"/>
    <col min="15631" max="15631" width="9.25" style="345" bestFit="1" customWidth="1"/>
    <col min="15632" max="15875" width="9" style="345"/>
    <col min="15876" max="15876" width="11.625" style="345" customWidth="1"/>
    <col min="15877" max="15877" width="9.375" style="345" customWidth="1"/>
    <col min="15878" max="15878" width="11.375" style="345" bestFit="1" customWidth="1"/>
    <col min="15879" max="15882" width="9.25" style="345" bestFit="1" customWidth="1"/>
    <col min="15883" max="15883" width="9" style="345"/>
    <col min="15884" max="15884" width="9.5" style="345" bestFit="1" customWidth="1"/>
    <col min="15885" max="15885" width="9" style="345"/>
    <col min="15886" max="15886" width="9.75" style="345" bestFit="1" customWidth="1"/>
    <col min="15887" max="15887" width="9.25" style="345" bestFit="1" customWidth="1"/>
    <col min="15888" max="16131" width="9" style="345"/>
    <col min="16132" max="16132" width="11.625" style="345" customWidth="1"/>
    <col min="16133" max="16133" width="9.375" style="345" customWidth="1"/>
    <col min="16134" max="16134" width="11.375" style="345" bestFit="1" customWidth="1"/>
    <col min="16135" max="16138" width="9.25" style="345" bestFit="1" customWidth="1"/>
    <col min="16139" max="16139" width="9" style="345"/>
    <col min="16140" max="16140" width="9.5" style="345" bestFit="1" customWidth="1"/>
    <col min="16141" max="16141" width="9" style="345"/>
    <col min="16142" max="16142" width="9.75" style="345" bestFit="1" customWidth="1"/>
    <col min="16143" max="16143" width="9.25" style="345" bestFit="1" customWidth="1"/>
    <col min="16144" max="16384" width="9" style="345"/>
  </cols>
  <sheetData>
    <row r="1" spans="1:10">
      <c r="A1" s="442" t="s">
        <v>418</v>
      </c>
      <c r="C1" s="346"/>
    </row>
    <row r="2" spans="1:10">
      <c r="B2" s="347"/>
      <c r="C2" s="348" t="s">
        <v>419</v>
      </c>
      <c r="D2" s="443">
        <f>IF特性!D2</f>
        <v>43250</v>
      </c>
      <c r="F2" s="350" t="s">
        <v>420</v>
      </c>
      <c r="G2" s="351"/>
      <c r="H2" s="351"/>
      <c r="I2" s="351"/>
    </row>
    <row r="3" spans="1:10">
      <c r="C3" s="345" t="s">
        <v>421</v>
      </c>
      <c r="D3" s="345" t="str">
        <f>IF特性!D3</f>
        <v>CQ7A03H1201C9-303H5R2</v>
      </c>
    </row>
    <row r="4" spans="1:10">
      <c r="C4" s="345" t="s">
        <v>423</v>
      </c>
      <c r="D4" s="345" t="s">
        <v>424</v>
      </c>
    </row>
    <row r="5" spans="1:10">
      <c r="C5" s="345" t="s">
        <v>425</v>
      </c>
      <c r="D5" s="345" t="s">
        <v>424</v>
      </c>
    </row>
    <row r="6" spans="1:10">
      <c r="C6" s="345" t="s">
        <v>426</v>
      </c>
      <c r="D6" s="345">
        <f>IF特性!D6</f>
        <v>12</v>
      </c>
    </row>
    <row r="7" spans="1:10">
      <c r="C7" s="345" t="s">
        <v>427</v>
      </c>
      <c r="D7" s="345">
        <f>IF特性!D7</f>
        <v>1</v>
      </c>
    </row>
    <row r="8" spans="1:10">
      <c r="C8" s="345" t="s">
        <v>428</v>
      </c>
      <c r="D8" s="420" t="s">
        <v>429</v>
      </c>
    </row>
    <row r="10" spans="1:10">
      <c r="C10" s="356" t="s">
        <v>432</v>
      </c>
    </row>
    <row r="11" spans="1:10">
      <c r="C11" s="357" t="s">
        <v>433</v>
      </c>
    </row>
    <row r="12" spans="1:10">
      <c r="I12" s="444" t="e">
        <f>I14/H17</f>
        <v>#VALUE!</v>
      </c>
      <c r="J12" s="345" t="s">
        <v>434</v>
      </c>
    </row>
    <row r="13" spans="1:10">
      <c r="A13" s="445" t="s">
        <v>474</v>
      </c>
      <c r="B13" s="446" t="s">
        <v>436</v>
      </c>
      <c r="C13" s="447" t="s">
        <v>475</v>
      </c>
      <c r="D13" s="448"/>
      <c r="E13" s="449" t="s">
        <v>438</v>
      </c>
      <c r="F13" s="448"/>
      <c r="G13" s="448"/>
      <c r="H13" s="450"/>
      <c r="I13" s="446" t="s">
        <v>439</v>
      </c>
      <c r="J13" s="451" t="s">
        <v>440</v>
      </c>
    </row>
    <row r="14" spans="1:10" ht="15" thickBot="1">
      <c r="A14" s="452" t="s">
        <v>476</v>
      </c>
      <c r="B14" s="453" t="s">
        <v>477</v>
      </c>
      <c r="C14" s="454" t="s">
        <v>478</v>
      </c>
      <c r="D14" s="454" t="s">
        <v>37</v>
      </c>
      <c r="E14" s="455" t="str">
        <f>IF特性!E15</f>
        <v>No.1</v>
      </c>
      <c r="F14" s="455" t="str">
        <f>IF特性!F15</f>
        <v>No.2</v>
      </c>
      <c r="G14" s="455" t="str">
        <f>IF特性!G15</f>
        <v>No.**</v>
      </c>
      <c r="H14" s="455" t="s">
        <v>454</v>
      </c>
      <c r="I14" s="456" t="s">
        <v>448</v>
      </c>
      <c r="J14" s="457" t="s">
        <v>455</v>
      </c>
    </row>
    <row r="15" spans="1:10" ht="15" thickTop="1">
      <c r="A15" s="399">
        <v>-1.8</v>
      </c>
      <c r="B15" s="399"/>
      <c r="C15" s="458">
        <v>0</v>
      </c>
      <c r="D15" s="459">
        <f>D7*175</f>
        <v>175</v>
      </c>
      <c r="E15" s="382">
        <f>データ貼り付け!H15</f>
        <v>37.018000000000001</v>
      </c>
      <c r="F15" s="382">
        <f>データ貼り付け!H36</f>
        <v>36.978999999999999</v>
      </c>
      <c r="G15" s="382" t="s">
        <v>424</v>
      </c>
      <c r="H15" s="460">
        <f t="shared" ref="H15:H20" si="0">AVERAGE(E15:G15)</f>
        <v>36.9985</v>
      </c>
      <c r="I15" s="379" t="e">
        <f t="shared" ref="I15:I20" si="1">H15*$I$12</f>
        <v>#VALUE!</v>
      </c>
      <c r="J15" s="380">
        <f t="shared" ref="J15:J20" si="2">H15/$H$16</f>
        <v>1.0191301234023797</v>
      </c>
    </row>
    <row r="16" spans="1:10" ht="15">
      <c r="A16" s="399">
        <v>-0.05</v>
      </c>
      <c r="B16" s="399"/>
      <c r="C16" s="461">
        <v>25</v>
      </c>
      <c r="D16" s="462">
        <f t="shared" ref="D16:D23" si="3">$D$15</f>
        <v>175</v>
      </c>
      <c r="E16" s="382">
        <f>データ貼り付け!H16</f>
        <v>36.314999999999998</v>
      </c>
      <c r="F16" s="382">
        <f>データ貼り付け!H37</f>
        <v>36.292999999999999</v>
      </c>
      <c r="G16" s="387" t="s">
        <v>424</v>
      </c>
      <c r="H16" s="463">
        <f t="shared" si="0"/>
        <v>36.304000000000002</v>
      </c>
      <c r="I16" s="389" t="e">
        <f t="shared" si="1"/>
        <v>#VALUE!</v>
      </c>
      <c r="J16" s="409">
        <f t="shared" si="2"/>
        <v>1</v>
      </c>
    </row>
    <row r="17" spans="1:12" ht="14.25">
      <c r="A17" s="399">
        <v>0.57999999999999996</v>
      </c>
      <c r="B17" s="399"/>
      <c r="C17" s="464">
        <v>45</v>
      </c>
      <c r="D17" s="459">
        <f t="shared" si="3"/>
        <v>175</v>
      </c>
      <c r="E17" s="382">
        <f>データ貼り付け!H17</f>
        <v>35.878</v>
      </c>
      <c r="F17" s="382">
        <f>データ貼り付け!H38</f>
        <v>35.847999999999999</v>
      </c>
      <c r="G17" s="391" t="s">
        <v>424</v>
      </c>
      <c r="H17" s="465">
        <f t="shared" si="0"/>
        <v>35.863</v>
      </c>
      <c r="I17" s="384" t="e">
        <f t="shared" si="1"/>
        <v>#VALUE!</v>
      </c>
      <c r="J17" s="402">
        <f t="shared" si="2"/>
        <v>0.98785257822829431</v>
      </c>
    </row>
    <row r="18" spans="1:12" ht="14.25">
      <c r="A18" s="399">
        <v>1.01</v>
      </c>
      <c r="B18" s="399"/>
      <c r="C18" s="464">
        <v>65</v>
      </c>
      <c r="D18" s="459">
        <f t="shared" si="3"/>
        <v>175</v>
      </c>
      <c r="E18" s="382">
        <f>データ貼り付け!H18</f>
        <v>35.493000000000002</v>
      </c>
      <c r="F18" s="382">
        <f>データ貼り付け!H39</f>
        <v>35.462000000000003</v>
      </c>
      <c r="G18" s="382" t="s">
        <v>424</v>
      </c>
      <c r="H18" s="465">
        <f t="shared" si="0"/>
        <v>35.477500000000006</v>
      </c>
      <c r="I18" s="384" t="e">
        <f t="shared" si="1"/>
        <v>#VALUE!</v>
      </c>
      <c r="J18" s="402">
        <f t="shared" si="2"/>
        <v>0.97723391361833423</v>
      </c>
    </row>
    <row r="19" spans="1:12" ht="14.25">
      <c r="A19" s="399">
        <v>1.05</v>
      </c>
      <c r="B19" s="399"/>
      <c r="C19" s="466">
        <v>66.3</v>
      </c>
      <c r="D19" s="459">
        <f t="shared" si="3"/>
        <v>175</v>
      </c>
      <c r="E19" s="382">
        <f>データ貼り付け!H19</f>
        <v>35.465000000000003</v>
      </c>
      <c r="F19" s="382">
        <f>データ貼り付け!H40</f>
        <v>35.435000000000002</v>
      </c>
      <c r="G19" s="382" t="s">
        <v>424</v>
      </c>
      <c r="H19" s="465">
        <f>AVERAGE(E19:G19)</f>
        <v>35.450000000000003</v>
      </c>
      <c r="I19" s="384" t="e">
        <f>H19*$I$12</f>
        <v>#VALUE!</v>
      </c>
      <c r="J19" s="402">
        <f>H19/$H$16</f>
        <v>0.97647642133098278</v>
      </c>
    </row>
    <row r="20" spans="1:12" ht="14.25">
      <c r="A20" s="399">
        <v>1.35</v>
      </c>
      <c r="B20" s="399"/>
      <c r="C20" s="464">
        <v>85</v>
      </c>
      <c r="D20" s="459">
        <f t="shared" si="3"/>
        <v>175</v>
      </c>
      <c r="E20" s="382">
        <f>データ貼り付け!H20</f>
        <v>35.133000000000003</v>
      </c>
      <c r="F20" s="382">
        <f>データ貼り付け!H41</f>
        <v>35.119999999999997</v>
      </c>
      <c r="G20" s="382" t="s">
        <v>424</v>
      </c>
      <c r="H20" s="465">
        <f t="shared" si="0"/>
        <v>35.1265</v>
      </c>
      <c r="I20" s="384" t="e">
        <f t="shared" si="1"/>
        <v>#VALUE!</v>
      </c>
      <c r="J20" s="402">
        <f t="shared" si="2"/>
        <v>0.96756555751432338</v>
      </c>
    </row>
    <row r="21" spans="1:12" ht="14.25">
      <c r="A21" s="399">
        <v>1.56</v>
      </c>
      <c r="B21" s="399"/>
      <c r="C21" s="464">
        <v>105</v>
      </c>
      <c r="D21" s="459">
        <f t="shared" si="3"/>
        <v>175</v>
      </c>
      <c r="E21" s="382">
        <f>データ貼り付け!H21</f>
        <v>34.822000000000003</v>
      </c>
      <c r="F21" s="382">
        <f>データ貼り付け!H42</f>
        <v>34.79</v>
      </c>
      <c r="G21" s="382" t="s">
        <v>424</v>
      </c>
      <c r="H21" s="465">
        <f>AVERAGE(E21:G21)</f>
        <v>34.805999999999997</v>
      </c>
      <c r="I21" s="384" t="e">
        <f>H21*$I$12</f>
        <v>#VALUE!</v>
      </c>
      <c r="J21" s="402">
        <f>H21/$H$16</f>
        <v>0.9587373292199205</v>
      </c>
    </row>
    <row r="22" spans="1:12" ht="14.25">
      <c r="A22" s="399">
        <v>1.75</v>
      </c>
      <c r="B22" s="399"/>
      <c r="C22" s="464">
        <v>125</v>
      </c>
      <c r="D22" s="459">
        <f t="shared" si="3"/>
        <v>175</v>
      </c>
      <c r="E22" s="382">
        <f>データ貼り付け!H22</f>
        <v>34.514000000000003</v>
      </c>
      <c r="F22" s="382">
        <f>データ貼り付け!H43</f>
        <v>34.485999999999997</v>
      </c>
      <c r="G22" s="382" t="s">
        <v>424</v>
      </c>
      <c r="H22" s="465">
        <f>AVERAGE(E22:G22)</f>
        <v>34.5</v>
      </c>
      <c r="I22" s="384" t="e">
        <f>H22*$I$12</f>
        <v>#VALUE!</v>
      </c>
      <c r="J22" s="402">
        <f>H22/$H$16</f>
        <v>0.95030850594975758</v>
      </c>
    </row>
    <row r="23" spans="1:12" ht="14.25">
      <c r="A23" s="399">
        <v>1.85</v>
      </c>
      <c r="B23" s="399"/>
      <c r="C23" s="464">
        <v>135</v>
      </c>
      <c r="D23" s="459">
        <f t="shared" si="3"/>
        <v>175</v>
      </c>
      <c r="E23" s="382">
        <f>データ貼り付け!H23</f>
        <v>34.363</v>
      </c>
      <c r="F23" s="382">
        <f>データ貼り付け!H44</f>
        <v>34.338000000000001</v>
      </c>
      <c r="G23" s="382" t="s">
        <v>424</v>
      </c>
      <c r="H23" s="465">
        <f>AVERAGE(E23:G23)</f>
        <v>34.350499999999997</v>
      </c>
      <c r="I23" s="384" t="e">
        <f>H23*$I$12</f>
        <v>#VALUE!</v>
      </c>
      <c r="J23" s="402">
        <f>H23/$H$16</f>
        <v>0.94619050242397518</v>
      </c>
    </row>
    <row r="26" spans="1:12">
      <c r="A26" s="467"/>
      <c r="B26" s="468"/>
      <c r="I26" s="469" t="e">
        <f>K28/J31</f>
        <v>#VALUE!</v>
      </c>
      <c r="J26" s="345" t="s">
        <v>450</v>
      </c>
    </row>
    <row r="27" spans="1:12">
      <c r="A27" s="445" t="s">
        <v>474</v>
      </c>
      <c r="B27" s="446" t="s">
        <v>436</v>
      </c>
      <c r="C27" s="447" t="s">
        <v>479</v>
      </c>
      <c r="D27" s="448"/>
      <c r="E27" s="449" t="s">
        <v>452</v>
      </c>
      <c r="F27" s="448"/>
      <c r="G27" s="448"/>
      <c r="H27" s="448"/>
      <c r="I27" s="448"/>
      <c r="J27" s="450"/>
      <c r="K27" s="446" t="s">
        <v>439</v>
      </c>
      <c r="L27" s="451" t="s">
        <v>453</v>
      </c>
    </row>
    <row r="28" spans="1:12" ht="15" thickBot="1">
      <c r="A28" s="452" t="s">
        <v>476</v>
      </c>
      <c r="B28" s="453" t="s">
        <v>477</v>
      </c>
      <c r="C28" s="454" t="s">
        <v>478</v>
      </c>
      <c r="D28" s="454" t="s">
        <v>37</v>
      </c>
      <c r="E28" s="455" t="str">
        <f>E14</f>
        <v>No.1</v>
      </c>
      <c r="F28" s="455"/>
      <c r="G28" s="455" t="str">
        <f>F14</f>
        <v>No.2</v>
      </c>
      <c r="H28" s="455"/>
      <c r="I28" s="455" t="str">
        <f>G14</f>
        <v>No.**</v>
      </c>
      <c r="J28" s="455" t="s">
        <v>454</v>
      </c>
      <c r="K28" s="456" t="s">
        <v>448</v>
      </c>
      <c r="L28" s="457" t="s">
        <v>455</v>
      </c>
    </row>
    <row r="29" spans="1:12" ht="15" thickTop="1">
      <c r="A29" s="373">
        <f t="shared" ref="A29:B37" si="4">A15</f>
        <v>-1.8</v>
      </c>
      <c r="B29" s="374">
        <f t="shared" si="4"/>
        <v>0</v>
      </c>
      <c r="C29" s="458">
        <v>0</v>
      </c>
      <c r="D29" s="459">
        <f t="shared" ref="D29:D37" si="5">$D$15</f>
        <v>175</v>
      </c>
      <c r="E29" s="382">
        <f>データ貼り付け!D15</f>
        <v>731.968026079065</v>
      </c>
      <c r="F29" s="401">
        <f t="shared" ref="F29:F34" si="6">E29/$E$30</f>
        <v>1.0413755105325955</v>
      </c>
      <c r="G29" s="382">
        <f>データ貼り付け!D36</f>
        <v>724.63208821372098</v>
      </c>
      <c r="H29" s="401">
        <f t="shared" ref="H29:H34" si="7">G29/$G$30</f>
        <v>1.0338450995037101</v>
      </c>
      <c r="I29" s="382" t="s">
        <v>424</v>
      </c>
      <c r="J29" s="378">
        <f t="shared" ref="J29:J34" si="8">AVERAGE(E29:I29)</f>
        <v>364.66883372570555</v>
      </c>
      <c r="K29" s="379" t="e">
        <f>$K$28*J29/$J$31</f>
        <v>#VALUE!</v>
      </c>
      <c r="L29" s="380">
        <f t="shared" ref="L29:L34" si="9">J29/$J$30</f>
        <v>1.0376155975348649</v>
      </c>
    </row>
    <row r="30" spans="1:12" ht="15">
      <c r="A30" s="405">
        <f t="shared" si="4"/>
        <v>-0.05</v>
      </c>
      <c r="B30" s="406">
        <f t="shared" si="4"/>
        <v>0</v>
      </c>
      <c r="C30" s="461">
        <v>25</v>
      </c>
      <c r="D30" s="462">
        <f t="shared" si="5"/>
        <v>175</v>
      </c>
      <c r="E30" s="382">
        <f>データ貼り付け!D16</f>
        <v>702.88576855884696</v>
      </c>
      <c r="F30" s="408">
        <f t="shared" si="6"/>
        <v>1</v>
      </c>
      <c r="G30" s="382">
        <f>データ貼り付け!D37</f>
        <v>700.90972870266103</v>
      </c>
      <c r="H30" s="408">
        <f t="shared" si="7"/>
        <v>1</v>
      </c>
      <c r="I30" s="387" t="s">
        <v>424</v>
      </c>
      <c r="J30" s="388">
        <f t="shared" si="8"/>
        <v>351.448874315377</v>
      </c>
      <c r="K30" s="389" t="e">
        <f>$K$28*J30/$J$31</f>
        <v>#VALUE!</v>
      </c>
      <c r="L30" s="409">
        <f t="shared" si="9"/>
        <v>1</v>
      </c>
    </row>
    <row r="31" spans="1:12" ht="14.25">
      <c r="A31" s="410">
        <f t="shared" si="4"/>
        <v>0.57999999999999996</v>
      </c>
      <c r="B31" s="411">
        <f t="shared" si="4"/>
        <v>0</v>
      </c>
      <c r="C31" s="464">
        <v>45</v>
      </c>
      <c r="D31" s="459">
        <f t="shared" si="5"/>
        <v>175</v>
      </c>
      <c r="E31" s="382">
        <f>データ貼り付け!D17</f>
        <v>679.77923643760505</v>
      </c>
      <c r="F31" s="412">
        <f t="shared" si="6"/>
        <v>0.96712619154515234</v>
      </c>
      <c r="G31" s="382">
        <f>データ貼り付け!D38</f>
        <v>676.15551007553495</v>
      </c>
      <c r="H31" s="412">
        <f t="shared" si="7"/>
        <v>0.96468272929676047</v>
      </c>
      <c r="I31" s="391" t="s">
        <v>424</v>
      </c>
      <c r="J31" s="383">
        <f t="shared" si="8"/>
        <v>339.46663885849546</v>
      </c>
      <c r="K31" s="384" t="e">
        <f>$K$28*J31/$J$31</f>
        <v>#VALUE!</v>
      </c>
      <c r="L31" s="402">
        <f t="shared" si="9"/>
        <v>0.965906177732898</v>
      </c>
    </row>
    <row r="32" spans="1:12" ht="14.25">
      <c r="A32" s="410">
        <f t="shared" si="4"/>
        <v>1.01</v>
      </c>
      <c r="B32" s="400">
        <f t="shared" si="4"/>
        <v>0</v>
      </c>
      <c r="C32" s="464">
        <v>65</v>
      </c>
      <c r="D32" s="459">
        <f t="shared" si="5"/>
        <v>175</v>
      </c>
      <c r="E32" s="382">
        <f>データ貼り付け!D18</f>
        <v>651.96678803099599</v>
      </c>
      <c r="F32" s="401">
        <f t="shared" si="6"/>
        <v>0.92755724641821657</v>
      </c>
      <c r="G32" s="382">
        <f>データ貼り付け!D39</f>
        <v>647.25571684449801</v>
      </c>
      <c r="H32" s="401">
        <f t="shared" si="7"/>
        <v>0.92345089579870265</v>
      </c>
      <c r="I32" s="382" t="s">
        <v>424</v>
      </c>
      <c r="J32" s="465">
        <f t="shared" si="8"/>
        <v>325.26837825442772</v>
      </c>
      <c r="K32" s="384" t="e">
        <f>J32*$I$12</f>
        <v>#VALUE!</v>
      </c>
      <c r="L32" s="402">
        <f t="shared" si="9"/>
        <v>0.92550695713011188</v>
      </c>
    </row>
    <row r="33" spans="1:14" ht="14.25">
      <c r="A33" s="410">
        <f t="shared" si="4"/>
        <v>1.05</v>
      </c>
      <c r="B33" s="400">
        <f t="shared" si="4"/>
        <v>0</v>
      </c>
      <c r="C33" s="466">
        <f>C19</f>
        <v>66.3</v>
      </c>
      <c r="D33" s="459">
        <f t="shared" si="5"/>
        <v>175</v>
      </c>
      <c r="E33" s="382">
        <f>データ貼り付け!D19</f>
        <v>649.32493952459595</v>
      </c>
      <c r="F33" s="401">
        <f t="shared" si="6"/>
        <v>0.92379867194626974</v>
      </c>
      <c r="G33" s="382">
        <f>データ貼り付け!D40</f>
        <v>645.08418234335704</v>
      </c>
      <c r="H33" s="401">
        <f>G33/$G$30</f>
        <v>0.9203527300689156</v>
      </c>
      <c r="I33" s="382" t="s">
        <v>424</v>
      </c>
      <c r="J33" s="465">
        <f>AVERAGE(E33:I33)</f>
        <v>324.06331831749208</v>
      </c>
      <c r="K33" s="384" t="e">
        <f>J33*$I$12</f>
        <v>#VALUE!</v>
      </c>
      <c r="L33" s="402">
        <f>J33/$J$30</f>
        <v>0.92207812288136637</v>
      </c>
    </row>
    <row r="34" spans="1:14" ht="14.25">
      <c r="A34" s="410">
        <f t="shared" si="4"/>
        <v>1.35</v>
      </c>
      <c r="B34" s="400">
        <f t="shared" si="4"/>
        <v>0</v>
      </c>
      <c r="C34" s="464">
        <v>85</v>
      </c>
      <c r="D34" s="459">
        <f t="shared" si="5"/>
        <v>175</v>
      </c>
      <c r="E34" s="382">
        <f>データ貼り付け!D20</f>
        <v>617.34039545782696</v>
      </c>
      <c r="F34" s="401">
        <f t="shared" si="6"/>
        <v>0.87829406010536126</v>
      </c>
      <c r="G34" s="382">
        <f>データ貼り付け!D41</f>
        <v>615.77202130749902</v>
      </c>
      <c r="H34" s="401">
        <f t="shared" si="7"/>
        <v>0.87853256431074733</v>
      </c>
      <c r="I34" s="382" t="s">
        <v>424</v>
      </c>
      <c r="J34" s="383">
        <f t="shared" si="8"/>
        <v>308.71731084743556</v>
      </c>
      <c r="K34" s="384" t="e">
        <f>$K$28*J34/$J$31</f>
        <v>#VALUE!</v>
      </c>
      <c r="L34" s="402">
        <f t="shared" si="9"/>
        <v>0.87841314458274311</v>
      </c>
    </row>
    <row r="35" spans="1:14" ht="14.25">
      <c r="A35" s="410">
        <f t="shared" si="4"/>
        <v>1.56</v>
      </c>
      <c r="B35" s="400">
        <f t="shared" si="4"/>
        <v>0</v>
      </c>
      <c r="C35" s="464">
        <v>105</v>
      </c>
      <c r="D35" s="459">
        <f t="shared" si="5"/>
        <v>175</v>
      </c>
      <c r="E35" s="382">
        <f>データ貼り付け!D21</f>
        <v>583.671571514535</v>
      </c>
      <c r="F35" s="401">
        <f>E35/$E$30</f>
        <v>0.83039321269978006</v>
      </c>
      <c r="G35" s="382">
        <f>データ貼り付け!D42</f>
        <v>578.60239810055305</v>
      </c>
      <c r="H35" s="401">
        <f>G35/$G$30</f>
        <v>0.82550202173896059</v>
      </c>
      <c r="I35" s="382" t="s">
        <v>424</v>
      </c>
      <c r="J35" s="383">
        <f>AVERAGE(E35:I35)</f>
        <v>290.98246621238167</v>
      </c>
      <c r="K35" s="384" t="e">
        <f>$K$28*J35/$J$31</f>
        <v>#VALUE!</v>
      </c>
      <c r="L35" s="402">
        <f>J35/$J$30</f>
        <v>0.82795105484180598</v>
      </c>
    </row>
    <row r="36" spans="1:14" ht="14.25">
      <c r="A36" s="410">
        <f t="shared" si="4"/>
        <v>1.75</v>
      </c>
      <c r="B36" s="400">
        <f t="shared" si="4"/>
        <v>0</v>
      </c>
      <c r="C36" s="464">
        <v>125</v>
      </c>
      <c r="D36" s="459">
        <f t="shared" si="5"/>
        <v>175</v>
      </c>
      <c r="E36" s="382">
        <f>データ貼り付け!D22</f>
        <v>543.91777000000195</v>
      </c>
      <c r="F36" s="401">
        <f>E36/$E$30</f>
        <v>0.77383522946440775</v>
      </c>
      <c r="G36" s="382">
        <f>データ貼り付け!D43</f>
        <v>539.23899215643701</v>
      </c>
      <c r="H36" s="401">
        <f>G36/$G$30</f>
        <v>0.76934157149528204</v>
      </c>
      <c r="I36" s="382" t="s">
        <v>424</v>
      </c>
      <c r="J36" s="383">
        <f>AVERAGE(E36:I36)</f>
        <v>271.17498473934967</v>
      </c>
      <c r="K36" s="384" t="e">
        <f>$K$28*J36/$J$31</f>
        <v>#VALUE!</v>
      </c>
      <c r="L36" s="402">
        <f>J36/$J$30</f>
        <v>0.7715915587085006</v>
      </c>
    </row>
    <row r="37" spans="1:14" ht="14.25">
      <c r="A37" s="410">
        <f t="shared" si="4"/>
        <v>1.85</v>
      </c>
      <c r="B37" s="400">
        <f t="shared" si="4"/>
        <v>0</v>
      </c>
      <c r="C37" s="464">
        <v>135</v>
      </c>
      <c r="D37" s="459">
        <f t="shared" si="5"/>
        <v>175</v>
      </c>
      <c r="E37" s="382">
        <f>データ貼り付け!D23</f>
        <v>522.430444835054</v>
      </c>
      <c r="F37" s="401">
        <f>E37/$E$30</f>
        <v>0.74326507692169197</v>
      </c>
      <c r="G37" s="382">
        <f>データ貼り付け!D44</f>
        <v>518.12547056404401</v>
      </c>
      <c r="H37" s="401">
        <f>G37/$G$30</f>
        <v>0.73921854605023252</v>
      </c>
      <c r="I37" s="382" t="s">
        <v>424</v>
      </c>
      <c r="J37" s="383">
        <f>AVERAGE(E37:I37)</f>
        <v>260.50959975551751</v>
      </c>
      <c r="K37" s="384" t="e">
        <f>$K$28*J37/$J$31</f>
        <v>#VALUE!</v>
      </c>
      <c r="L37" s="402">
        <f>J37/$J$30</f>
        <v>0.74124465546515306</v>
      </c>
    </row>
    <row r="40" spans="1:14">
      <c r="B40" s="468"/>
    </row>
    <row r="41" spans="1:14">
      <c r="A41" s="445" t="s">
        <v>474</v>
      </c>
      <c r="B41" s="446" t="s">
        <v>436</v>
      </c>
      <c r="C41" s="447" t="s">
        <v>480</v>
      </c>
      <c r="D41" s="448"/>
      <c r="E41" s="449" t="str">
        <f>E14</f>
        <v>No.1</v>
      </c>
      <c r="F41" s="450"/>
      <c r="G41" s="449" t="str">
        <f>F14</f>
        <v>No.2</v>
      </c>
      <c r="H41" s="450"/>
      <c r="I41" s="449" t="str">
        <f>G14</f>
        <v>No.**</v>
      </c>
      <c r="J41" s="450"/>
      <c r="K41" s="449" t="s">
        <v>454</v>
      </c>
      <c r="L41" s="450"/>
      <c r="M41" s="449"/>
      <c r="N41" s="450"/>
    </row>
    <row r="42" spans="1:14" ht="15" thickBot="1">
      <c r="A42" s="452" t="s">
        <v>476</v>
      </c>
      <c r="B42" s="453" t="s">
        <v>477</v>
      </c>
      <c r="C42" s="454" t="s">
        <v>478</v>
      </c>
      <c r="D42" s="454" t="s">
        <v>37</v>
      </c>
      <c r="E42" s="452" t="s">
        <v>458</v>
      </c>
      <c r="F42" s="452" t="s">
        <v>459</v>
      </c>
      <c r="G42" s="452" t="s">
        <v>458</v>
      </c>
      <c r="H42" s="452" t="s">
        <v>459</v>
      </c>
      <c r="I42" s="452" t="s">
        <v>458</v>
      </c>
      <c r="J42" s="452" t="s">
        <v>459</v>
      </c>
      <c r="K42" s="452" t="s">
        <v>458</v>
      </c>
      <c r="L42" s="452" t="s">
        <v>459</v>
      </c>
      <c r="M42" s="452" t="s">
        <v>461</v>
      </c>
      <c r="N42" s="452" t="s">
        <v>462</v>
      </c>
    </row>
    <row r="43" spans="1:14" ht="15" thickTop="1">
      <c r="A43" s="373">
        <f t="shared" ref="A43:B51" si="10">A15</f>
        <v>-1.8</v>
      </c>
      <c r="B43" s="374">
        <f t="shared" si="10"/>
        <v>0</v>
      </c>
      <c r="C43" s="458">
        <v>0</v>
      </c>
      <c r="D43" s="459">
        <f t="shared" ref="D43:D51" si="11">$D$15</f>
        <v>175</v>
      </c>
      <c r="E43" s="413">
        <f>データ貼り付け!S15</f>
        <v>0.43377853286876999</v>
      </c>
      <c r="F43" s="413">
        <f>データ貼り付け!T15</f>
        <v>0.41134887882433802</v>
      </c>
      <c r="G43" s="413">
        <f>データ貼り付け!S36</f>
        <v>0.436730724824545</v>
      </c>
      <c r="H43" s="413">
        <f>データ貼り付け!T36</f>
        <v>0.410479106459117</v>
      </c>
      <c r="I43" s="414"/>
      <c r="J43" s="414"/>
      <c r="K43" s="415">
        <f t="shared" ref="K43:L51" si="12">AVERAGE(E43,G43)</f>
        <v>0.4352546288466575</v>
      </c>
      <c r="L43" s="415">
        <f t="shared" si="12"/>
        <v>0.41091399264172751</v>
      </c>
      <c r="M43" s="415">
        <f t="shared" ref="M43:M48" si="13">K43-$K$44</f>
        <v>6.1544505255201054E-4</v>
      </c>
      <c r="N43" s="415">
        <f t="shared" ref="N43:N48" si="14">L43-$L$44</f>
        <v>5.3283640850025349E-3</v>
      </c>
    </row>
    <row r="44" spans="1:14" ht="15">
      <c r="A44" s="405">
        <f t="shared" si="10"/>
        <v>-0.05</v>
      </c>
      <c r="B44" s="406">
        <f t="shared" si="10"/>
        <v>0</v>
      </c>
      <c r="C44" s="461">
        <v>25</v>
      </c>
      <c r="D44" s="462">
        <f t="shared" si="11"/>
        <v>175</v>
      </c>
      <c r="E44" s="413">
        <f>データ貼り付け!S16</f>
        <v>0.43476078242412303</v>
      </c>
      <c r="F44" s="413">
        <f>データ貼り付け!T16</f>
        <v>0.405399877859074</v>
      </c>
      <c r="G44" s="413">
        <f>データ貼り付け!S37</f>
        <v>0.434517585164088</v>
      </c>
      <c r="H44" s="413">
        <f>データ貼り付け!T37</f>
        <v>0.40577137925437601</v>
      </c>
      <c r="I44" s="417"/>
      <c r="J44" s="417"/>
      <c r="K44" s="418">
        <f t="shared" si="12"/>
        <v>0.43463918379410549</v>
      </c>
      <c r="L44" s="418">
        <f t="shared" si="12"/>
        <v>0.40558562855672498</v>
      </c>
      <c r="M44" s="418">
        <f t="shared" si="13"/>
        <v>0</v>
      </c>
      <c r="N44" s="418">
        <f t="shared" si="14"/>
        <v>0</v>
      </c>
    </row>
    <row r="45" spans="1:14" ht="14.25">
      <c r="A45" s="410">
        <f t="shared" si="10"/>
        <v>0.57999999999999996</v>
      </c>
      <c r="B45" s="411">
        <f t="shared" si="10"/>
        <v>0</v>
      </c>
      <c r="C45" s="464">
        <v>45</v>
      </c>
      <c r="D45" s="459">
        <f t="shared" si="11"/>
        <v>175</v>
      </c>
      <c r="E45" s="413">
        <f>データ貼り付け!S17</f>
        <v>0.43505908421328698</v>
      </c>
      <c r="F45" s="413">
        <f>データ貼り付け!T17</f>
        <v>0.40496832673451599</v>
      </c>
      <c r="G45" s="413">
        <f>データ貼り付け!S38</f>
        <v>0.43507309577732201</v>
      </c>
      <c r="H45" s="413">
        <f>データ貼り付け!T38</f>
        <v>0.40557460035048798</v>
      </c>
      <c r="I45" s="470"/>
      <c r="J45" s="470"/>
      <c r="K45" s="416">
        <f t="shared" si="12"/>
        <v>0.43506608999530449</v>
      </c>
      <c r="L45" s="416">
        <f t="shared" si="12"/>
        <v>0.40527146354250199</v>
      </c>
      <c r="M45" s="416">
        <f t="shared" si="13"/>
        <v>4.2690620119900657E-4</v>
      </c>
      <c r="N45" s="416">
        <f t="shared" si="14"/>
        <v>-3.1416501422298904E-4</v>
      </c>
    </row>
    <row r="46" spans="1:14" ht="14.25">
      <c r="A46" s="399">
        <f t="shared" si="10"/>
        <v>1.01</v>
      </c>
      <c r="B46" s="400">
        <f t="shared" si="10"/>
        <v>0</v>
      </c>
      <c r="C46" s="464">
        <v>65</v>
      </c>
      <c r="D46" s="459">
        <f t="shared" si="11"/>
        <v>175</v>
      </c>
      <c r="E46" s="413">
        <f>データ貼り付け!S18</f>
        <v>0.43504506158593997</v>
      </c>
      <c r="F46" s="413">
        <f>データ貼り付け!T18</f>
        <v>0.40476374499488899</v>
      </c>
      <c r="G46" s="413">
        <f>データ貼り付け!S39</f>
        <v>0.434984152044812</v>
      </c>
      <c r="H46" s="413">
        <f>データ貼り付け!T39</f>
        <v>0.40515992069121298</v>
      </c>
      <c r="I46" s="414"/>
      <c r="J46" s="414"/>
      <c r="K46" s="416">
        <f t="shared" si="12"/>
        <v>0.43501460681537596</v>
      </c>
      <c r="L46" s="416">
        <f t="shared" si="12"/>
        <v>0.40496183284305098</v>
      </c>
      <c r="M46" s="416">
        <f t="shared" si="13"/>
        <v>3.7542302127047122E-4</v>
      </c>
      <c r="N46" s="416">
        <f t="shared" si="14"/>
        <v>-6.2379571367399134E-4</v>
      </c>
    </row>
    <row r="47" spans="1:14" ht="14.25">
      <c r="A47" s="399">
        <f t="shared" si="10"/>
        <v>1.05</v>
      </c>
      <c r="B47" s="400">
        <f t="shared" si="10"/>
        <v>0</v>
      </c>
      <c r="C47" s="466">
        <f>C19</f>
        <v>66.3</v>
      </c>
      <c r="D47" s="459">
        <f t="shared" si="11"/>
        <v>175</v>
      </c>
      <c r="E47" s="413">
        <f>データ貼り付け!S19</f>
        <v>0.43494757024483899</v>
      </c>
      <c r="F47" s="413">
        <f>データ貼り付け!T19</f>
        <v>0.40468961324838998</v>
      </c>
      <c r="G47" s="413">
        <f>データ貼り付け!S40</f>
        <v>0.43498030491504502</v>
      </c>
      <c r="H47" s="413">
        <f>データ貼り付け!T40</f>
        <v>0.40516633414944903</v>
      </c>
      <c r="I47" s="414"/>
      <c r="J47" s="414"/>
      <c r="K47" s="416">
        <f>AVERAGE(E47,G47)</f>
        <v>0.43496393757994201</v>
      </c>
      <c r="L47" s="416">
        <f>AVERAGE(F47,H47)</f>
        <v>0.40492797369891953</v>
      </c>
      <c r="M47" s="416">
        <f>K47-$K$44</f>
        <v>3.2475378583651793E-4</v>
      </c>
      <c r="N47" s="416">
        <f>L47-$L$44</f>
        <v>-6.576548578054453E-4</v>
      </c>
    </row>
    <row r="48" spans="1:14" ht="14.25">
      <c r="A48" s="399">
        <f t="shared" si="10"/>
        <v>1.35</v>
      </c>
      <c r="B48" s="400">
        <f t="shared" si="10"/>
        <v>0</v>
      </c>
      <c r="C48" s="464">
        <v>85</v>
      </c>
      <c r="D48" s="459">
        <f t="shared" si="11"/>
        <v>175</v>
      </c>
      <c r="E48" s="413">
        <f>データ貼り付け!S20</f>
        <v>0.43440979898478599</v>
      </c>
      <c r="F48" s="413">
        <f>データ貼り付け!T20</f>
        <v>0.40455191403872598</v>
      </c>
      <c r="G48" s="413">
        <f>データ貼り付け!S41</f>
        <v>0.43443231836031698</v>
      </c>
      <c r="H48" s="413">
        <f>データ貼り付け!T41</f>
        <v>0.40494940907473698</v>
      </c>
      <c r="I48" s="414"/>
      <c r="J48" s="414"/>
      <c r="K48" s="416">
        <f t="shared" si="12"/>
        <v>0.43442105867255149</v>
      </c>
      <c r="L48" s="416">
        <f t="shared" si="12"/>
        <v>0.40475066155673145</v>
      </c>
      <c r="M48" s="416">
        <f t="shared" si="13"/>
        <v>-2.1812512155400254E-4</v>
      </c>
      <c r="N48" s="416">
        <f t="shared" si="14"/>
        <v>-8.3496699999352497E-4</v>
      </c>
    </row>
    <row r="49" spans="1:21" ht="14.25">
      <c r="A49" s="399">
        <f t="shared" si="10"/>
        <v>1.56</v>
      </c>
      <c r="B49" s="400">
        <f t="shared" si="10"/>
        <v>0</v>
      </c>
      <c r="C49" s="464">
        <v>105</v>
      </c>
      <c r="D49" s="459">
        <f t="shared" si="11"/>
        <v>175</v>
      </c>
      <c r="E49" s="413">
        <f>データ貼り付け!S21</f>
        <v>0.43324386897577899</v>
      </c>
      <c r="F49" s="413">
        <f>データ貼り付け!T21</f>
        <v>0.40452372460290698</v>
      </c>
      <c r="G49" s="413">
        <f>データ貼り付け!S42</f>
        <v>0.43319564603534999</v>
      </c>
      <c r="H49" s="413">
        <f>データ貼り付け!T42</f>
        <v>0.40501388111319298</v>
      </c>
      <c r="I49" s="414"/>
      <c r="J49" s="414"/>
      <c r="K49" s="416">
        <f t="shared" si="12"/>
        <v>0.43321975750556452</v>
      </c>
      <c r="L49" s="416">
        <f t="shared" si="12"/>
        <v>0.40476880285804995</v>
      </c>
      <c r="M49" s="416">
        <f>K49-$K$44</f>
        <v>-1.4194262885409703E-3</v>
      </c>
      <c r="N49" s="416">
        <f>L49-$L$44</f>
        <v>-8.1682569867502774E-4</v>
      </c>
    </row>
    <row r="50" spans="1:21" ht="14.25">
      <c r="A50" s="399">
        <f t="shared" si="10"/>
        <v>1.75</v>
      </c>
      <c r="B50" s="400">
        <f t="shared" si="10"/>
        <v>0</v>
      </c>
      <c r="C50" s="464">
        <v>125</v>
      </c>
      <c r="D50" s="459">
        <f t="shared" si="11"/>
        <v>175</v>
      </c>
      <c r="E50" s="413">
        <f>データ貼り付け!S22</f>
        <v>0.43132839095779002</v>
      </c>
      <c r="F50" s="413">
        <f>データ貼り付け!T22</f>
        <v>0.40476870522036001</v>
      </c>
      <c r="G50" s="413">
        <f>データ貼り付け!S43</f>
        <v>0.43111213638018703</v>
      </c>
      <c r="H50" s="413">
        <f>データ貼り付け!T43</f>
        <v>0.40508149630081303</v>
      </c>
      <c r="I50" s="414"/>
      <c r="J50" s="414"/>
      <c r="K50" s="416">
        <f t="shared" si="12"/>
        <v>0.43122026366898852</v>
      </c>
      <c r="L50" s="416">
        <f t="shared" si="12"/>
        <v>0.40492510076058652</v>
      </c>
      <c r="M50" s="416">
        <f>K50-$K$44</f>
        <v>-3.4189201251169643E-3</v>
      </c>
      <c r="N50" s="416">
        <f>L50-$L$44</f>
        <v>-6.605277961384548E-4</v>
      </c>
    </row>
    <row r="51" spans="1:21" ht="14.25">
      <c r="A51" s="399">
        <f t="shared" si="10"/>
        <v>1.85</v>
      </c>
      <c r="B51" s="400">
        <f t="shared" si="10"/>
        <v>0</v>
      </c>
      <c r="C51" s="464">
        <v>135</v>
      </c>
      <c r="D51" s="459">
        <f t="shared" si="11"/>
        <v>175</v>
      </c>
      <c r="E51" s="413">
        <f>データ貼り付け!S23</f>
        <v>0.43007565712680901</v>
      </c>
      <c r="F51" s="413">
        <f>データ貼り付け!T23</f>
        <v>0.40500712046863802</v>
      </c>
      <c r="G51" s="413">
        <f>データ貼り付け!S44</f>
        <v>0.42991844300894899</v>
      </c>
      <c r="H51" s="413">
        <f>データ貼り付け!T44</f>
        <v>0.40535115057055099</v>
      </c>
      <c r="I51" s="414"/>
      <c r="J51" s="414"/>
      <c r="K51" s="416">
        <f t="shared" si="12"/>
        <v>0.42999705006787903</v>
      </c>
      <c r="L51" s="416">
        <f t="shared" si="12"/>
        <v>0.4051791355195945</v>
      </c>
      <c r="M51" s="416">
        <f>K51-$K$44</f>
        <v>-4.6421337262264606E-3</v>
      </c>
      <c r="N51" s="416">
        <f>L51-$L$44</f>
        <v>-4.0649303713047313E-4</v>
      </c>
    </row>
    <row r="53" spans="1:21">
      <c r="Q53" s="329"/>
      <c r="R53" s="329"/>
      <c r="S53" s="329"/>
      <c r="T53" s="329"/>
      <c r="U53" s="329"/>
    </row>
    <row r="54" spans="1:21">
      <c r="Q54" s="471"/>
      <c r="R54" s="329"/>
      <c r="S54" s="329"/>
      <c r="T54" s="329"/>
      <c r="U54" s="329"/>
    </row>
    <row r="55" spans="1:21">
      <c r="B55" s="468"/>
      <c r="Q55" s="329"/>
      <c r="R55" s="472"/>
      <c r="S55" s="472"/>
      <c r="T55" s="472"/>
      <c r="U55" s="472"/>
    </row>
    <row r="56" spans="1:21">
      <c r="B56" s="468"/>
      <c r="Q56" s="329"/>
      <c r="R56" s="472"/>
      <c r="S56" s="472"/>
      <c r="T56" s="472"/>
      <c r="U56" s="472"/>
    </row>
  </sheetData>
  <sheetProtection password="A7EA" sheet="1" objects="1" scenarios="1"/>
  <phoneticPr fontId="7"/>
  <conditionalFormatting sqref="D4:D8 A15:B20 E15:G15 A29:B34 E29:I29 A43:B48 G16:G20 F30:F34 H30:I34 I44:J48 E43:J43 G30:G37 E30:E37 E16:F23 E44:H51">
    <cfRule type="cellIs" dxfId="95" priority="10" stopIfTrue="1" operator="equal">
      <formula>"記入"</formula>
    </cfRule>
  </conditionalFormatting>
  <conditionalFormatting sqref="D3">
    <cfRule type="cellIs" dxfId="94" priority="9" stopIfTrue="1" operator="equal">
      <formula>"記入"</formula>
    </cfRule>
  </conditionalFormatting>
  <conditionalFormatting sqref="D2">
    <cfRule type="cellIs" dxfId="93" priority="8" stopIfTrue="1" operator="equal">
      <formula>"記入"</formula>
    </cfRule>
  </conditionalFormatting>
  <conditionalFormatting sqref="A22:B23 G22:G23">
    <cfRule type="cellIs" dxfId="92" priority="6" stopIfTrue="1" operator="equal">
      <formula>"記入"</formula>
    </cfRule>
  </conditionalFormatting>
  <conditionalFormatting sqref="A21:B21 G21">
    <cfRule type="cellIs" dxfId="91" priority="7" stopIfTrue="1" operator="equal">
      <formula>"記入"</formula>
    </cfRule>
  </conditionalFormatting>
  <conditionalFormatting sqref="A36:B37 F36:F37 H36:I37">
    <cfRule type="cellIs" dxfId="90" priority="4" stopIfTrue="1" operator="equal">
      <formula>"記入"</formula>
    </cfRule>
  </conditionalFormatting>
  <conditionalFormatting sqref="A35:B35 F35 H35:I35">
    <cfRule type="cellIs" dxfId="89" priority="5" stopIfTrue="1" operator="equal">
      <formula>"記入"</formula>
    </cfRule>
  </conditionalFormatting>
  <conditionalFormatting sqref="I49:J49 A49:B49">
    <cfRule type="cellIs" dxfId="88" priority="3" stopIfTrue="1" operator="equal">
      <formula>"記入"</formula>
    </cfRule>
  </conditionalFormatting>
  <conditionalFormatting sqref="I50:J50 A50:B50">
    <cfRule type="cellIs" dxfId="87" priority="2" stopIfTrue="1" operator="equal">
      <formula>"記入"</formula>
    </cfRule>
  </conditionalFormatting>
  <conditionalFormatting sqref="I51:J51 A51:B51">
    <cfRule type="cellIs" dxfId="86" priority="1" stopIfTrue="1" operator="equal">
      <formula>"記入"</formula>
    </cfRule>
  </conditionalFormatting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134"/>
  <sheetViews>
    <sheetView zoomScale="80" zoomScaleNormal="80" workbookViewId="0">
      <pane ySplit="11" topLeftCell="A12" activePane="bottomLeft" state="frozen"/>
      <selection activeCell="C4" sqref="C4"/>
      <selection pane="bottomLeft" activeCell="C4" sqref="C4"/>
    </sheetView>
  </sheetViews>
  <sheetFormatPr defaultRowHeight="13.5"/>
  <cols>
    <col min="1" max="3" width="9" style="345"/>
    <col min="4" max="4" width="11.625" style="345" bestFit="1" customWidth="1"/>
    <col min="5" max="5" width="9.375" style="345" customWidth="1"/>
    <col min="6" max="6" width="15" style="345" bestFit="1" customWidth="1"/>
    <col min="7" max="7" width="10.125" style="345" bestFit="1" customWidth="1"/>
    <col min="8" max="10" width="9.25" style="345" bestFit="1" customWidth="1"/>
    <col min="11" max="11" width="9" style="345"/>
    <col min="12" max="12" width="9.5" style="345" bestFit="1" customWidth="1"/>
    <col min="13" max="13" width="9" style="345"/>
    <col min="14" max="14" width="9.75" style="345" bestFit="1" customWidth="1"/>
    <col min="15" max="15" width="9.25" style="345" bestFit="1" customWidth="1"/>
    <col min="16" max="259" width="9" style="345"/>
    <col min="260" max="260" width="11.625" style="345" bestFit="1" customWidth="1"/>
    <col min="261" max="261" width="9.375" style="345" customWidth="1"/>
    <col min="262" max="262" width="15" style="345" bestFit="1" customWidth="1"/>
    <col min="263" max="263" width="10.125" style="345" bestFit="1" customWidth="1"/>
    <col min="264" max="266" width="9.25" style="345" bestFit="1" customWidth="1"/>
    <col min="267" max="267" width="9" style="345"/>
    <col min="268" max="268" width="9.5" style="345" bestFit="1" customWidth="1"/>
    <col min="269" max="269" width="9" style="345"/>
    <col min="270" max="270" width="9.75" style="345" bestFit="1" customWidth="1"/>
    <col min="271" max="271" width="9.25" style="345" bestFit="1" customWidth="1"/>
    <col min="272" max="515" width="9" style="345"/>
    <col min="516" max="516" width="11.625" style="345" bestFit="1" customWidth="1"/>
    <col min="517" max="517" width="9.375" style="345" customWidth="1"/>
    <col min="518" max="518" width="15" style="345" bestFit="1" customWidth="1"/>
    <col min="519" max="519" width="10.125" style="345" bestFit="1" customWidth="1"/>
    <col min="520" max="522" width="9.25" style="345" bestFit="1" customWidth="1"/>
    <col min="523" max="523" width="9" style="345"/>
    <col min="524" max="524" width="9.5" style="345" bestFit="1" customWidth="1"/>
    <col min="525" max="525" width="9" style="345"/>
    <col min="526" max="526" width="9.75" style="345" bestFit="1" customWidth="1"/>
    <col min="527" max="527" width="9.25" style="345" bestFit="1" customWidth="1"/>
    <col min="528" max="771" width="9" style="345"/>
    <col min="772" max="772" width="11.625" style="345" bestFit="1" customWidth="1"/>
    <col min="773" max="773" width="9.375" style="345" customWidth="1"/>
    <col min="774" max="774" width="15" style="345" bestFit="1" customWidth="1"/>
    <col min="775" max="775" width="10.125" style="345" bestFit="1" customWidth="1"/>
    <col min="776" max="778" width="9.25" style="345" bestFit="1" customWidth="1"/>
    <col min="779" max="779" width="9" style="345"/>
    <col min="780" max="780" width="9.5" style="345" bestFit="1" customWidth="1"/>
    <col min="781" max="781" width="9" style="345"/>
    <col min="782" max="782" width="9.75" style="345" bestFit="1" customWidth="1"/>
    <col min="783" max="783" width="9.25" style="345" bestFit="1" customWidth="1"/>
    <col min="784" max="1027" width="9" style="345"/>
    <col min="1028" max="1028" width="11.625" style="345" bestFit="1" customWidth="1"/>
    <col min="1029" max="1029" width="9.375" style="345" customWidth="1"/>
    <col min="1030" max="1030" width="15" style="345" bestFit="1" customWidth="1"/>
    <col min="1031" max="1031" width="10.125" style="345" bestFit="1" customWidth="1"/>
    <col min="1032" max="1034" width="9.25" style="345" bestFit="1" customWidth="1"/>
    <col min="1035" max="1035" width="9" style="345"/>
    <col min="1036" max="1036" width="9.5" style="345" bestFit="1" customWidth="1"/>
    <col min="1037" max="1037" width="9" style="345"/>
    <col min="1038" max="1038" width="9.75" style="345" bestFit="1" customWidth="1"/>
    <col min="1039" max="1039" width="9.25" style="345" bestFit="1" customWidth="1"/>
    <col min="1040" max="1283" width="9" style="345"/>
    <col min="1284" max="1284" width="11.625" style="345" bestFit="1" customWidth="1"/>
    <col min="1285" max="1285" width="9.375" style="345" customWidth="1"/>
    <col min="1286" max="1286" width="15" style="345" bestFit="1" customWidth="1"/>
    <col min="1287" max="1287" width="10.125" style="345" bestFit="1" customWidth="1"/>
    <col min="1288" max="1290" width="9.25" style="345" bestFit="1" customWidth="1"/>
    <col min="1291" max="1291" width="9" style="345"/>
    <col min="1292" max="1292" width="9.5" style="345" bestFit="1" customWidth="1"/>
    <col min="1293" max="1293" width="9" style="345"/>
    <col min="1294" max="1294" width="9.75" style="345" bestFit="1" customWidth="1"/>
    <col min="1295" max="1295" width="9.25" style="345" bestFit="1" customWidth="1"/>
    <col min="1296" max="1539" width="9" style="345"/>
    <col min="1540" max="1540" width="11.625" style="345" bestFit="1" customWidth="1"/>
    <col min="1541" max="1541" width="9.375" style="345" customWidth="1"/>
    <col min="1542" max="1542" width="15" style="345" bestFit="1" customWidth="1"/>
    <col min="1543" max="1543" width="10.125" style="345" bestFit="1" customWidth="1"/>
    <col min="1544" max="1546" width="9.25" style="345" bestFit="1" customWidth="1"/>
    <col min="1547" max="1547" width="9" style="345"/>
    <col min="1548" max="1548" width="9.5" style="345" bestFit="1" customWidth="1"/>
    <col min="1549" max="1549" width="9" style="345"/>
    <col min="1550" max="1550" width="9.75" style="345" bestFit="1" customWidth="1"/>
    <col min="1551" max="1551" width="9.25" style="345" bestFit="1" customWidth="1"/>
    <col min="1552" max="1795" width="9" style="345"/>
    <col min="1796" max="1796" width="11.625" style="345" bestFit="1" customWidth="1"/>
    <col min="1797" max="1797" width="9.375" style="345" customWidth="1"/>
    <col min="1798" max="1798" width="15" style="345" bestFit="1" customWidth="1"/>
    <col min="1799" max="1799" width="10.125" style="345" bestFit="1" customWidth="1"/>
    <col min="1800" max="1802" width="9.25" style="345" bestFit="1" customWidth="1"/>
    <col min="1803" max="1803" width="9" style="345"/>
    <col min="1804" max="1804" width="9.5" style="345" bestFit="1" customWidth="1"/>
    <col min="1805" max="1805" width="9" style="345"/>
    <col min="1806" max="1806" width="9.75" style="345" bestFit="1" customWidth="1"/>
    <col min="1807" max="1807" width="9.25" style="345" bestFit="1" customWidth="1"/>
    <col min="1808" max="2051" width="9" style="345"/>
    <col min="2052" max="2052" width="11.625" style="345" bestFit="1" customWidth="1"/>
    <col min="2053" max="2053" width="9.375" style="345" customWidth="1"/>
    <col min="2054" max="2054" width="15" style="345" bestFit="1" customWidth="1"/>
    <col min="2055" max="2055" width="10.125" style="345" bestFit="1" customWidth="1"/>
    <col min="2056" max="2058" width="9.25" style="345" bestFit="1" customWidth="1"/>
    <col min="2059" max="2059" width="9" style="345"/>
    <col min="2060" max="2060" width="9.5" style="345" bestFit="1" customWidth="1"/>
    <col min="2061" max="2061" width="9" style="345"/>
    <col min="2062" max="2062" width="9.75" style="345" bestFit="1" customWidth="1"/>
    <col min="2063" max="2063" width="9.25" style="345" bestFit="1" customWidth="1"/>
    <col min="2064" max="2307" width="9" style="345"/>
    <col min="2308" max="2308" width="11.625" style="345" bestFit="1" customWidth="1"/>
    <col min="2309" max="2309" width="9.375" style="345" customWidth="1"/>
    <col min="2310" max="2310" width="15" style="345" bestFit="1" customWidth="1"/>
    <col min="2311" max="2311" width="10.125" style="345" bestFit="1" customWidth="1"/>
    <col min="2312" max="2314" width="9.25" style="345" bestFit="1" customWidth="1"/>
    <col min="2315" max="2315" width="9" style="345"/>
    <col min="2316" max="2316" width="9.5" style="345" bestFit="1" customWidth="1"/>
    <col min="2317" max="2317" width="9" style="345"/>
    <col min="2318" max="2318" width="9.75" style="345" bestFit="1" customWidth="1"/>
    <col min="2319" max="2319" width="9.25" style="345" bestFit="1" customWidth="1"/>
    <col min="2320" max="2563" width="9" style="345"/>
    <col min="2564" max="2564" width="11.625" style="345" bestFit="1" customWidth="1"/>
    <col min="2565" max="2565" width="9.375" style="345" customWidth="1"/>
    <col min="2566" max="2566" width="15" style="345" bestFit="1" customWidth="1"/>
    <col min="2567" max="2567" width="10.125" style="345" bestFit="1" customWidth="1"/>
    <col min="2568" max="2570" width="9.25" style="345" bestFit="1" customWidth="1"/>
    <col min="2571" max="2571" width="9" style="345"/>
    <col min="2572" max="2572" width="9.5" style="345" bestFit="1" customWidth="1"/>
    <col min="2573" max="2573" width="9" style="345"/>
    <col min="2574" max="2574" width="9.75" style="345" bestFit="1" customWidth="1"/>
    <col min="2575" max="2575" width="9.25" style="345" bestFit="1" customWidth="1"/>
    <col min="2576" max="2819" width="9" style="345"/>
    <col min="2820" max="2820" width="11.625" style="345" bestFit="1" customWidth="1"/>
    <col min="2821" max="2821" width="9.375" style="345" customWidth="1"/>
    <col min="2822" max="2822" width="15" style="345" bestFit="1" customWidth="1"/>
    <col min="2823" max="2823" width="10.125" style="345" bestFit="1" customWidth="1"/>
    <col min="2824" max="2826" width="9.25" style="345" bestFit="1" customWidth="1"/>
    <col min="2827" max="2827" width="9" style="345"/>
    <col min="2828" max="2828" width="9.5" style="345" bestFit="1" customWidth="1"/>
    <col min="2829" max="2829" width="9" style="345"/>
    <col min="2830" max="2830" width="9.75" style="345" bestFit="1" customWidth="1"/>
    <col min="2831" max="2831" width="9.25" style="345" bestFit="1" customWidth="1"/>
    <col min="2832" max="3075" width="9" style="345"/>
    <col min="3076" max="3076" width="11.625" style="345" bestFit="1" customWidth="1"/>
    <col min="3077" max="3077" width="9.375" style="345" customWidth="1"/>
    <col min="3078" max="3078" width="15" style="345" bestFit="1" customWidth="1"/>
    <col min="3079" max="3079" width="10.125" style="345" bestFit="1" customWidth="1"/>
    <col min="3080" max="3082" width="9.25" style="345" bestFit="1" customWidth="1"/>
    <col min="3083" max="3083" width="9" style="345"/>
    <col min="3084" max="3084" width="9.5" style="345" bestFit="1" customWidth="1"/>
    <col min="3085" max="3085" width="9" style="345"/>
    <col min="3086" max="3086" width="9.75" style="345" bestFit="1" customWidth="1"/>
    <col min="3087" max="3087" width="9.25" style="345" bestFit="1" customWidth="1"/>
    <col min="3088" max="3331" width="9" style="345"/>
    <col min="3332" max="3332" width="11.625" style="345" bestFit="1" customWidth="1"/>
    <col min="3333" max="3333" width="9.375" style="345" customWidth="1"/>
    <col min="3334" max="3334" width="15" style="345" bestFit="1" customWidth="1"/>
    <col min="3335" max="3335" width="10.125" style="345" bestFit="1" customWidth="1"/>
    <col min="3336" max="3338" width="9.25" style="345" bestFit="1" customWidth="1"/>
    <col min="3339" max="3339" width="9" style="345"/>
    <col min="3340" max="3340" width="9.5" style="345" bestFit="1" customWidth="1"/>
    <col min="3341" max="3341" width="9" style="345"/>
    <col min="3342" max="3342" width="9.75" style="345" bestFit="1" customWidth="1"/>
    <col min="3343" max="3343" width="9.25" style="345" bestFit="1" customWidth="1"/>
    <col min="3344" max="3587" width="9" style="345"/>
    <col min="3588" max="3588" width="11.625" style="345" bestFit="1" customWidth="1"/>
    <col min="3589" max="3589" width="9.375" style="345" customWidth="1"/>
    <col min="3590" max="3590" width="15" style="345" bestFit="1" customWidth="1"/>
    <col min="3591" max="3591" width="10.125" style="345" bestFit="1" customWidth="1"/>
    <col min="3592" max="3594" width="9.25" style="345" bestFit="1" customWidth="1"/>
    <col min="3595" max="3595" width="9" style="345"/>
    <col min="3596" max="3596" width="9.5" style="345" bestFit="1" customWidth="1"/>
    <col min="3597" max="3597" width="9" style="345"/>
    <col min="3598" max="3598" width="9.75" style="345" bestFit="1" customWidth="1"/>
    <col min="3599" max="3599" width="9.25" style="345" bestFit="1" customWidth="1"/>
    <col min="3600" max="3843" width="9" style="345"/>
    <col min="3844" max="3844" width="11.625" style="345" bestFit="1" customWidth="1"/>
    <col min="3845" max="3845" width="9.375" style="345" customWidth="1"/>
    <col min="3846" max="3846" width="15" style="345" bestFit="1" customWidth="1"/>
    <col min="3847" max="3847" width="10.125" style="345" bestFit="1" customWidth="1"/>
    <col min="3848" max="3850" width="9.25" style="345" bestFit="1" customWidth="1"/>
    <col min="3851" max="3851" width="9" style="345"/>
    <col min="3852" max="3852" width="9.5" style="345" bestFit="1" customWidth="1"/>
    <col min="3853" max="3853" width="9" style="345"/>
    <col min="3854" max="3854" width="9.75" style="345" bestFit="1" customWidth="1"/>
    <col min="3855" max="3855" width="9.25" style="345" bestFit="1" customWidth="1"/>
    <col min="3856" max="4099" width="9" style="345"/>
    <col min="4100" max="4100" width="11.625" style="345" bestFit="1" customWidth="1"/>
    <col min="4101" max="4101" width="9.375" style="345" customWidth="1"/>
    <col min="4102" max="4102" width="15" style="345" bestFit="1" customWidth="1"/>
    <col min="4103" max="4103" width="10.125" style="345" bestFit="1" customWidth="1"/>
    <col min="4104" max="4106" width="9.25" style="345" bestFit="1" customWidth="1"/>
    <col min="4107" max="4107" width="9" style="345"/>
    <col min="4108" max="4108" width="9.5" style="345" bestFit="1" customWidth="1"/>
    <col min="4109" max="4109" width="9" style="345"/>
    <col min="4110" max="4110" width="9.75" style="345" bestFit="1" customWidth="1"/>
    <col min="4111" max="4111" width="9.25" style="345" bestFit="1" customWidth="1"/>
    <col min="4112" max="4355" width="9" style="345"/>
    <col min="4356" max="4356" width="11.625" style="345" bestFit="1" customWidth="1"/>
    <col min="4357" max="4357" width="9.375" style="345" customWidth="1"/>
    <col min="4358" max="4358" width="15" style="345" bestFit="1" customWidth="1"/>
    <col min="4359" max="4359" width="10.125" style="345" bestFit="1" customWidth="1"/>
    <col min="4360" max="4362" width="9.25" style="345" bestFit="1" customWidth="1"/>
    <col min="4363" max="4363" width="9" style="345"/>
    <col min="4364" max="4364" width="9.5" style="345" bestFit="1" customWidth="1"/>
    <col min="4365" max="4365" width="9" style="345"/>
    <col min="4366" max="4366" width="9.75" style="345" bestFit="1" customWidth="1"/>
    <col min="4367" max="4367" width="9.25" style="345" bestFit="1" customWidth="1"/>
    <col min="4368" max="4611" width="9" style="345"/>
    <col min="4612" max="4612" width="11.625" style="345" bestFit="1" customWidth="1"/>
    <col min="4613" max="4613" width="9.375" style="345" customWidth="1"/>
    <col min="4614" max="4614" width="15" style="345" bestFit="1" customWidth="1"/>
    <col min="4615" max="4615" width="10.125" style="345" bestFit="1" customWidth="1"/>
    <col min="4616" max="4618" width="9.25" style="345" bestFit="1" customWidth="1"/>
    <col min="4619" max="4619" width="9" style="345"/>
    <col min="4620" max="4620" width="9.5" style="345" bestFit="1" customWidth="1"/>
    <col min="4621" max="4621" width="9" style="345"/>
    <col min="4622" max="4622" width="9.75" style="345" bestFit="1" customWidth="1"/>
    <col min="4623" max="4623" width="9.25" style="345" bestFit="1" customWidth="1"/>
    <col min="4624" max="4867" width="9" style="345"/>
    <col min="4868" max="4868" width="11.625" style="345" bestFit="1" customWidth="1"/>
    <col min="4869" max="4869" width="9.375" style="345" customWidth="1"/>
    <col min="4870" max="4870" width="15" style="345" bestFit="1" customWidth="1"/>
    <col min="4871" max="4871" width="10.125" style="345" bestFit="1" customWidth="1"/>
    <col min="4872" max="4874" width="9.25" style="345" bestFit="1" customWidth="1"/>
    <col min="4875" max="4875" width="9" style="345"/>
    <col min="4876" max="4876" width="9.5" style="345" bestFit="1" customWidth="1"/>
    <col min="4877" max="4877" width="9" style="345"/>
    <col min="4878" max="4878" width="9.75" style="345" bestFit="1" customWidth="1"/>
    <col min="4879" max="4879" width="9.25" style="345" bestFit="1" customWidth="1"/>
    <col min="4880" max="5123" width="9" style="345"/>
    <col min="5124" max="5124" width="11.625" style="345" bestFit="1" customWidth="1"/>
    <col min="5125" max="5125" width="9.375" style="345" customWidth="1"/>
    <col min="5126" max="5126" width="15" style="345" bestFit="1" customWidth="1"/>
    <col min="5127" max="5127" width="10.125" style="345" bestFit="1" customWidth="1"/>
    <col min="5128" max="5130" width="9.25" style="345" bestFit="1" customWidth="1"/>
    <col min="5131" max="5131" width="9" style="345"/>
    <col min="5132" max="5132" width="9.5" style="345" bestFit="1" customWidth="1"/>
    <col min="5133" max="5133" width="9" style="345"/>
    <col min="5134" max="5134" width="9.75" style="345" bestFit="1" customWidth="1"/>
    <col min="5135" max="5135" width="9.25" style="345" bestFit="1" customWidth="1"/>
    <col min="5136" max="5379" width="9" style="345"/>
    <col min="5380" max="5380" width="11.625" style="345" bestFit="1" customWidth="1"/>
    <col min="5381" max="5381" width="9.375" style="345" customWidth="1"/>
    <col min="5382" max="5382" width="15" style="345" bestFit="1" customWidth="1"/>
    <col min="5383" max="5383" width="10.125" style="345" bestFit="1" customWidth="1"/>
    <col min="5384" max="5386" width="9.25" style="345" bestFit="1" customWidth="1"/>
    <col min="5387" max="5387" width="9" style="345"/>
    <col min="5388" max="5388" width="9.5" style="345" bestFit="1" customWidth="1"/>
    <col min="5389" max="5389" width="9" style="345"/>
    <col min="5390" max="5390" width="9.75" style="345" bestFit="1" customWidth="1"/>
    <col min="5391" max="5391" width="9.25" style="345" bestFit="1" customWidth="1"/>
    <col min="5392" max="5635" width="9" style="345"/>
    <col min="5636" max="5636" width="11.625" style="345" bestFit="1" customWidth="1"/>
    <col min="5637" max="5637" width="9.375" style="345" customWidth="1"/>
    <col min="5638" max="5638" width="15" style="345" bestFit="1" customWidth="1"/>
    <col min="5639" max="5639" width="10.125" style="345" bestFit="1" customWidth="1"/>
    <col min="5640" max="5642" width="9.25" style="345" bestFit="1" customWidth="1"/>
    <col min="5643" max="5643" width="9" style="345"/>
    <col min="5644" max="5644" width="9.5" style="345" bestFit="1" customWidth="1"/>
    <col min="5645" max="5645" width="9" style="345"/>
    <col min="5646" max="5646" width="9.75" style="345" bestFit="1" customWidth="1"/>
    <col min="5647" max="5647" width="9.25" style="345" bestFit="1" customWidth="1"/>
    <col min="5648" max="5891" width="9" style="345"/>
    <col min="5892" max="5892" width="11.625" style="345" bestFit="1" customWidth="1"/>
    <col min="5893" max="5893" width="9.375" style="345" customWidth="1"/>
    <col min="5894" max="5894" width="15" style="345" bestFit="1" customWidth="1"/>
    <col min="5895" max="5895" width="10.125" style="345" bestFit="1" customWidth="1"/>
    <col min="5896" max="5898" width="9.25" style="345" bestFit="1" customWidth="1"/>
    <col min="5899" max="5899" width="9" style="345"/>
    <col min="5900" max="5900" width="9.5" style="345" bestFit="1" customWidth="1"/>
    <col min="5901" max="5901" width="9" style="345"/>
    <col min="5902" max="5902" width="9.75" style="345" bestFit="1" customWidth="1"/>
    <col min="5903" max="5903" width="9.25" style="345" bestFit="1" customWidth="1"/>
    <col min="5904" max="6147" width="9" style="345"/>
    <col min="6148" max="6148" width="11.625" style="345" bestFit="1" customWidth="1"/>
    <col min="6149" max="6149" width="9.375" style="345" customWidth="1"/>
    <col min="6150" max="6150" width="15" style="345" bestFit="1" customWidth="1"/>
    <col min="6151" max="6151" width="10.125" style="345" bestFit="1" customWidth="1"/>
    <col min="6152" max="6154" width="9.25" style="345" bestFit="1" customWidth="1"/>
    <col min="6155" max="6155" width="9" style="345"/>
    <col min="6156" max="6156" width="9.5" style="345" bestFit="1" customWidth="1"/>
    <col min="6157" max="6157" width="9" style="345"/>
    <col min="6158" max="6158" width="9.75" style="345" bestFit="1" customWidth="1"/>
    <col min="6159" max="6159" width="9.25" style="345" bestFit="1" customWidth="1"/>
    <col min="6160" max="6403" width="9" style="345"/>
    <col min="6404" max="6404" width="11.625" style="345" bestFit="1" customWidth="1"/>
    <col min="6405" max="6405" width="9.375" style="345" customWidth="1"/>
    <col min="6406" max="6406" width="15" style="345" bestFit="1" customWidth="1"/>
    <col min="6407" max="6407" width="10.125" style="345" bestFit="1" customWidth="1"/>
    <col min="6408" max="6410" width="9.25" style="345" bestFit="1" customWidth="1"/>
    <col min="6411" max="6411" width="9" style="345"/>
    <col min="6412" max="6412" width="9.5" style="345" bestFit="1" customWidth="1"/>
    <col min="6413" max="6413" width="9" style="345"/>
    <col min="6414" max="6414" width="9.75" style="345" bestFit="1" customWidth="1"/>
    <col min="6415" max="6415" width="9.25" style="345" bestFit="1" customWidth="1"/>
    <col min="6416" max="6659" width="9" style="345"/>
    <col min="6660" max="6660" width="11.625" style="345" bestFit="1" customWidth="1"/>
    <col min="6661" max="6661" width="9.375" style="345" customWidth="1"/>
    <col min="6662" max="6662" width="15" style="345" bestFit="1" customWidth="1"/>
    <col min="6663" max="6663" width="10.125" style="345" bestFit="1" customWidth="1"/>
    <col min="6664" max="6666" width="9.25" style="345" bestFit="1" customWidth="1"/>
    <col min="6667" max="6667" width="9" style="345"/>
    <col min="6668" max="6668" width="9.5" style="345" bestFit="1" customWidth="1"/>
    <col min="6669" max="6669" width="9" style="345"/>
    <col min="6670" max="6670" width="9.75" style="345" bestFit="1" customWidth="1"/>
    <col min="6671" max="6671" width="9.25" style="345" bestFit="1" customWidth="1"/>
    <col min="6672" max="6915" width="9" style="345"/>
    <col min="6916" max="6916" width="11.625" style="345" bestFit="1" customWidth="1"/>
    <col min="6917" max="6917" width="9.375" style="345" customWidth="1"/>
    <col min="6918" max="6918" width="15" style="345" bestFit="1" customWidth="1"/>
    <col min="6919" max="6919" width="10.125" style="345" bestFit="1" customWidth="1"/>
    <col min="6920" max="6922" width="9.25" style="345" bestFit="1" customWidth="1"/>
    <col min="6923" max="6923" width="9" style="345"/>
    <col min="6924" max="6924" width="9.5" style="345" bestFit="1" customWidth="1"/>
    <col min="6925" max="6925" width="9" style="345"/>
    <col min="6926" max="6926" width="9.75" style="345" bestFit="1" customWidth="1"/>
    <col min="6927" max="6927" width="9.25" style="345" bestFit="1" customWidth="1"/>
    <col min="6928" max="7171" width="9" style="345"/>
    <col min="7172" max="7172" width="11.625" style="345" bestFit="1" customWidth="1"/>
    <col min="7173" max="7173" width="9.375" style="345" customWidth="1"/>
    <col min="7174" max="7174" width="15" style="345" bestFit="1" customWidth="1"/>
    <col min="7175" max="7175" width="10.125" style="345" bestFit="1" customWidth="1"/>
    <col min="7176" max="7178" width="9.25" style="345" bestFit="1" customWidth="1"/>
    <col min="7179" max="7179" width="9" style="345"/>
    <col min="7180" max="7180" width="9.5" style="345" bestFit="1" customWidth="1"/>
    <col min="7181" max="7181" width="9" style="345"/>
    <col min="7182" max="7182" width="9.75" style="345" bestFit="1" customWidth="1"/>
    <col min="7183" max="7183" width="9.25" style="345" bestFit="1" customWidth="1"/>
    <col min="7184" max="7427" width="9" style="345"/>
    <col min="7428" max="7428" width="11.625" style="345" bestFit="1" customWidth="1"/>
    <col min="7429" max="7429" width="9.375" style="345" customWidth="1"/>
    <col min="7430" max="7430" width="15" style="345" bestFit="1" customWidth="1"/>
    <col min="7431" max="7431" width="10.125" style="345" bestFit="1" customWidth="1"/>
    <col min="7432" max="7434" width="9.25" style="345" bestFit="1" customWidth="1"/>
    <col min="7435" max="7435" width="9" style="345"/>
    <col min="7436" max="7436" width="9.5" style="345" bestFit="1" customWidth="1"/>
    <col min="7437" max="7437" width="9" style="345"/>
    <col min="7438" max="7438" width="9.75" style="345" bestFit="1" customWidth="1"/>
    <col min="7439" max="7439" width="9.25" style="345" bestFit="1" customWidth="1"/>
    <col min="7440" max="7683" width="9" style="345"/>
    <col min="7684" max="7684" width="11.625" style="345" bestFit="1" customWidth="1"/>
    <col min="7685" max="7685" width="9.375" style="345" customWidth="1"/>
    <col min="7686" max="7686" width="15" style="345" bestFit="1" customWidth="1"/>
    <col min="7687" max="7687" width="10.125" style="345" bestFit="1" customWidth="1"/>
    <col min="7688" max="7690" width="9.25" style="345" bestFit="1" customWidth="1"/>
    <col min="7691" max="7691" width="9" style="345"/>
    <col min="7692" max="7692" width="9.5" style="345" bestFit="1" customWidth="1"/>
    <col min="7693" max="7693" width="9" style="345"/>
    <col min="7694" max="7694" width="9.75" style="345" bestFit="1" customWidth="1"/>
    <col min="7695" max="7695" width="9.25" style="345" bestFit="1" customWidth="1"/>
    <col min="7696" max="7939" width="9" style="345"/>
    <col min="7940" max="7940" width="11.625" style="345" bestFit="1" customWidth="1"/>
    <col min="7941" max="7941" width="9.375" style="345" customWidth="1"/>
    <col min="7942" max="7942" width="15" style="345" bestFit="1" customWidth="1"/>
    <col min="7943" max="7943" width="10.125" style="345" bestFit="1" customWidth="1"/>
    <col min="7944" max="7946" width="9.25" style="345" bestFit="1" customWidth="1"/>
    <col min="7947" max="7947" width="9" style="345"/>
    <col min="7948" max="7948" width="9.5" style="345" bestFit="1" customWidth="1"/>
    <col min="7949" max="7949" width="9" style="345"/>
    <col min="7950" max="7950" width="9.75" style="345" bestFit="1" customWidth="1"/>
    <col min="7951" max="7951" width="9.25" style="345" bestFit="1" customWidth="1"/>
    <col min="7952" max="8195" width="9" style="345"/>
    <col min="8196" max="8196" width="11.625" style="345" bestFit="1" customWidth="1"/>
    <col min="8197" max="8197" width="9.375" style="345" customWidth="1"/>
    <col min="8198" max="8198" width="15" style="345" bestFit="1" customWidth="1"/>
    <col min="8199" max="8199" width="10.125" style="345" bestFit="1" customWidth="1"/>
    <col min="8200" max="8202" width="9.25" style="345" bestFit="1" customWidth="1"/>
    <col min="8203" max="8203" width="9" style="345"/>
    <col min="8204" max="8204" width="9.5" style="345" bestFit="1" customWidth="1"/>
    <col min="8205" max="8205" width="9" style="345"/>
    <col min="8206" max="8206" width="9.75" style="345" bestFit="1" customWidth="1"/>
    <col min="8207" max="8207" width="9.25" style="345" bestFit="1" customWidth="1"/>
    <col min="8208" max="8451" width="9" style="345"/>
    <col min="8452" max="8452" width="11.625" style="345" bestFit="1" customWidth="1"/>
    <col min="8453" max="8453" width="9.375" style="345" customWidth="1"/>
    <col min="8454" max="8454" width="15" style="345" bestFit="1" customWidth="1"/>
    <col min="8455" max="8455" width="10.125" style="345" bestFit="1" customWidth="1"/>
    <col min="8456" max="8458" width="9.25" style="345" bestFit="1" customWidth="1"/>
    <col min="8459" max="8459" width="9" style="345"/>
    <col min="8460" max="8460" width="9.5" style="345" bestFit="1" customWidth="1"/>
    <col min="8461" max="8461" width="9" style="345"/>
    <col min="8462" max="8462" width="9.75" style="345" bestFit="1" customWidth="1"/>
    <col min="8463" max="8463" width="9.25" style="345" bestFit="1" customWidth="1"/>
    <col min="8464" max="8707" width="9" style="345"/>
    <col min="8708" max="8708" width="11.625" style="345" bestFit="1" customWidth="1"/>
    <col min="8709" max="8709" width="9.375" style="345" customWidth="1"/>
    <col min="8710" max="8710" width="15" style="345" bestFit="1" customWidth="1"/>
    <col min="8711" max="8711" width="10.125" style="345" bestFit="1" customWidth="1"/>
    <col min="8712" max="8714" width="9.25" style="345" bestFit="1" customWidth="1"/>
    <col min="8715" max="8715" width="9" style="345"/>
    <col min="8716" max="8716" width="9.5" style="345" bestFit="1" customWidth="1"/>
    <col min="8717" max="8717" width="9" style="345"/>
    <col min="8718" max="8718" width="9.75" style="345" bestFit="1" customWidth="1"/>
    <col min="8719" max="8719" width="9.25" style="345" bestFit="1" customWidth="1"/>
    <col min="8720" max="8963" width="9" style="345"/>
    <col min="8964" max="8964" width="11.625" style="345" bestFit="1" customWidth="1"/>
    <col min="8965" max="8965" width="9.375" style="345" customWidth="1"/>
    <col min="8966" max="8966" width="15" style="345" bestFit="1" customWidth="1"/>
    <col min="8967" max="8967" width="10.125" style="345" bestFit="1" customWidth="1"/>
    <col min="8968" max="8970" width="9.25" style="345" bestFit="1" customWidth="1"/>
    <col min="8971" max="8971" width="9" style="345"/>
    <col min="8972" max="8972" width="9.5" style="345" bestFit="1" customWidth="1"/>
    <col min="8973" max="8973" width="9" style="345"/>
    <col min="8974" max="8974" width="9.75" style="345" bestFit="1" customWidth="1"/>
    <col min="8975" max="8975" width="9.25" style="345" bestFit="1" customWidth="1"/>
    <col min="8976" max="9219" width="9" style="345"/>
    <col min="9220" max="9220" width="11.625" style="345" bestFit="1" customWidth="1"/>
    <col min="9221" max="9221" width="9.375" style="345" customWidth="1"/>
    <col min="9222" max="9222" width="15" style="345" bestFit="1" customWidth="1"/>
    <col min="9223" max="9223" width="10.125" style="345" bestFit="1" customWidth="1"/>
    <col min="9224" max="9226" width="9.25" style="345" bestFit="1" customWidth="1"/>
    <col min="9227" max="9227" width="9" style="345"/>
    <col min="9228" max="9228" width="9.5" style="345" bestFit="1" customWidth="1"/>
    <col min="9229" max="9229" width="9" style="345"/>
    <col min="9230" max="9230" width="9.75" style="345" bestFit="1" customWidth="1"/>
    <col min="9231" max="9231" width="9.25" style="345" bestFit="1" customWidth="1"/>
    <col min="9232" max="9475" width="9" style="345"/>
    <col min="9476" max="9476" width="11.625" style="345" bestFit="1" customWidth="1"/>
    <col min="9477" max="9477" width="9.375" style="345" customWidth="1"/>
    <col min="9478" max="9478" width="15" style="345" bestFit="1" customWidth="1"/>
    <col min="9479" max="9479" width="10.125" style="345" bestFit="1" customWidth="1"/>
    <col min="9480" max="9482" width="9.25" style="345" bestFit="1" customWidth="1"/>
    <col min="9483" max="9483" width="9" style="345"/>
    <col min="9484" max="9484" width="9.5" style="345" bestFit="1" customWidth="1"/>
    <col min="9485" max="9485" width="9" style="345"/>
    <col min="9486" max="9486" width="9.75" style="345" bestFit="1" customWidth="1"/>
    <col min="9487" max="9487" width="9.25" style="345" bestFit="1" customWidth="1"/>
    <col min="9488" max="9731" width="9" style="345"/>
    <col min="9732" max="9732" width="11.625" style="345" bestFit="1" customWidth="1"/>
    <col min="9733" max="9733" width="9.375" style="345" customWidth="1"/>
    <col min="9734" max="9734" width="15" style="345" bestFit="1" customWidth="1"/>
    <col min="9735" max="9735" width="10.125" style="345" bestFit="1" customWidth="1"/>
    <col min="9736" max="9738" width="9.25" style="345" bestFit="1" customWidth="1"/>
    <col min="9739" max="9739" width="9" style="345"/>
    <col min="9740" max="9740" width="9.5" style="345" bestFit="1" customWidth="1"/>
    <col min="9741" max="9741" width="9" style="345"/>
    <col min="9742" max="9742" width="9.75" style="345" bestFit="1" customWidth="1"/>
    <col min="9743" max="9743" width="9.25" style="345" bestFit="1" customWidth="1"/>
    <col min="9744" max="9987" width="9" style="345"/>
    <col min="9988" max="9988" width="11.625" style="345" bestFit="1" customWidth="1"/>
    <col min="9989" max="9989" width="9.375" style="345" customWidth="1"/>
    <col min="9990" max="9990" width="15" style="345" bestFit="1" customWidth="1"/>
    <col min="9991" max="9991" width="10.125" style="345" bestFit="1" customWidth="1"/>
    <col min="9992" max="9994" width="9.25" style="345" bestFit="1" customWidth="1"/>
    <col min="9995" max="9995" width="9" style="345"/>
    <col min="9996" max="9996" width="9.5" style="345" bestFit="1" customWidth="1"/>
    <col min="9997" max="9997" width="9" style="345"/>
    <col min="9998" max="9998" width="9.75" style="345" bestFit="1" customWidth="1"/>
    <col min="9999" max="9999" width="9.25" style="345" bestFit="1" customWidth="1"/>
    <col min="10000" max="10243" width="9" style="345"/>
    <col min="10244" max="10244" width="11.625" style="345" bestFit="1" customWidth="1"/>
    <col min="10245" max="10245" width="9.375" style="345" customWidth="1"/>
    <col min="10246" max="10246" width="15" style="345" bestFit="1" customWidth="1"/>
    <col min="10247" max="10247" width="10.125" style="345" bestFit="1" customWidth="1"/>
    <col min="10248" max="10250" width="9.25" style="345" bestFit="1" customWidth="1"/>
    <col min="10251" max="10251" width="9" style="345"/>
    <col min="10252" max="10252" width="9.5" style="345" bestFit="1" customWidth="1"/>
    <col min="10253" max="10253" width="9" style="345"/>
    <col min="10254" max="10254" width="9.75" style="345" bestFit="1" customWidth="1"/>
    <col min="10255" max="10255" width="9.25" style="345" bestFit="1" customWidth="1"/>
    <col min="10256" max="10499" width="9" style="345"/>
    <col min="10500" max="10500" width="11.625" style="345" bestFit="1" customWidth="1"/>
    <col min="10501" max="10501" width="9.375" style="345" customWidth="1"/>
    <col min="10502" max="10502" width="15" style="345" bestFit="1" customWidth="1"/>
    <col min="10503" max="10503" width="10.125" style="345" bestFit="1" customWidth="1"/>
    <col min="10504" max="10506" width="9.25" style="345" bestFit="1" customWidth="1"/>
    <col min="10507" max="10507" width="9" style="345"/>
    <col min="10508" max="10508" width="9.5" style="345" bestFit="1" customWidth="1"/>
    <col min="10509" max="10509" width="9" style="345"/>
    <col min="10510" max="10510" width="9.75" style="345" bestFit="1" customWidth="1"/>
    <col min="10511" max="10511" width="9.25" style="345" bestFit="1" customWidth="1"/>
    <col min="10512" max="10755" width="9" style="345"/>
    <col min="10756" max="10756" width="11.625" style="345" bestFit="1" customWidth="1"/>
    <col min="10757" max="10757" width="9.375" style="345" customWidth="1"/>
    <col min="10758" max="10758" width="15" style="345" bestFit="1" customWidth="1"/>
    <col min="10759" max="10759" width="10.125" style="345" bestFit="1" customWidth="1"/>
    <col min="10760" max="10762" width="9.25" style="345" bestFit="1" customWidth="1"/>
    <col min="10763" max="10763" width="9" style="345"/>
    <col min="10764" max="10764" width="9.5" style="345" bestFit="1" customWidth="1"/>
    <col min="10765" max="10765" width="9" style="345"/>
    <col min="10766" max="10766" width="9.75" style="345" bestFit="1" customWidth="1"/>
    <col min="10767" max="10767" width="9.25" style="345" bestFit="1" customWidth="1"/>
    <col min="10768" max="11011" width="9" style="345"/>
    <col min="11012" max="11012" width="11.625" style="345" bestFit="1" customWidth="1"/>
    <col min="11013" max="11013" width="9.375" style="345" customWidth="1"/>
    <col min="11014" max="11014" width="15" style="345" bestFit="1" customWidth="1"/>
    <col min="11015" max="11015" width="10.125" style="345" bestFit="1" customWidth="1"/>
    <col min="11016" max="11018" width="9.25" style="345" bestFit="1" customWidth="1"/>
    <col min="11019" max="11019" width="9" style="345"/>
    <col min="11020" max="11020" width="9.5" style="345" bestFit="1" customWidth="1"/>
    <col min="11021" max="11021" width="9" style="345"/>
    <col min="11022" max="11022" width="9.75" style="345" bestFit="1" customWidth="1"/>
    <col min="11023" max="11023" width="9.25" style="345" bestFit="1" customWidth="1"/>
    <col min="11024" max="11267" width="9" style="345"/>
    <col min="11268" max="11268" width="11.625" style="345" bestFit="1" customWidth="1"/>
    <col min="11269" max="11269" width="9.375" style="345" customWidth="1"/>
    <col min="11270" max="11270" width="15" style="345" bestFit="1" customWidth="1"/>
    <col min="11271" max="11271" width="10.125" style="345" bestFit="1" customWidth="1"/>
    <col min="11272" max="11274" width="9.25" style="345" bestFit="1" customWidth="1"/>
    <col min="11275" max="11275" width="9" style="345"/>
    <col min="11276" max="11276" width="9.5" style="345" bestFit="1" customWidth="1"/>
    <col min="11277" max="11277" width="9" style="345"/>
    <col min="11278" max="11278" width="9.75" style="345" bestFit="1" customWidth="1"/>
    <col min="11279" max="11279" width="9.25" style="345" bestFit="1" customWidth="1"/>
    <col min="11280" max="11523" width="9" style="345"/>
    <col min="11524" max="11524" width="11.625" style="345" bestFit="1" customWidth="1"/>
    <col min="11525" max="11525" width="9.375" style="345" customWidth="1"/>
    <col min="11526" max="11526" width="15" style="345" bestFit="1" customWidth="1"/>
    <col min="11527" max="11527" width="10.125" style="345" bestFit="1" customWidth="1"/>
    <col min="11528" max="11530" width="9.25" style="345" bestFit="1" customWidth="1"/>
    <col min="11531" max="11531" width="9" style="345"/>
    <col min="11532" max="11532" width="9.5" style="345" bestFit="1" customWidth="1"/>
    <col min="11533" max="11533" width="9" style="345"/>
    <col min="11534" max="11534" width="9.75" style="345" bestFit="1" customWidth="1"/>
    <col min="11535" max="11535" width="9.25" style="345" bestFit="1" customWidth="1"/>
    <col min="11536" max="11779" width="9" style="345"/>
    <col min="11780" max="11780" width="11.625" style="345" bestFit="1" customWidth="1"/>
    <col min="11781" max="11781" width="9.375" style="345" customWidth="1"/>
    <col min="11782" max="11782" width="15" style="345" bestFit="1" customWidth="1"/>
    <col min="11783" max="11783" width="10.125" style="345" bestFit="1" customWidth="1"/>
    <col min="11784" max="11786" width="9.25" style="345" bestFit="1" customWidth="1"/>
    <col min="11787" max="11787" width="9" style="345"/>
    <col min="11788" max="11788" width="9.5" style="345" bestFit="1" customWidth="1"/>
    <col min="11789" max="11789" width="9" style="345"/>
    <col min="11790" max="11790" width="9.75" style="345" bestFit="1" customWidth="1"/>
    <col min="11791" max="11791" width="9.25" style="345" bestFit="1" customWidth="1"/>
    <col min="11792" max="12035" width="9" style="345"/>
    <col min="12036" max="12036" width="11.625" style="345" bestFit="1" customWidth="1"/>
    <col min="12037" max="12037" width="9.375" style="345" customWidth="1"/>
    <col min="12038" max="12038" width="15" style="345" bestFit="1" customWidth="1"/>
    <col min="12039" max="12039" width="10.125" style="345" bestFit="1" customWidth="1"/>
    <col min="12040" max="12042" width="9.25" style="345" bestFit="1" customWidth="1"/>
    <col min="12043" max="12043" width="9" style="345"/>
    <col min="12044" max="12044" width="9.5" style="345" bestFit="1" customWidth="1"/>
    <col min="12045" max="12045" width="9" style="345"/>
    <col min="12046" max="12046" width="9.75" style="345" bestFit="1" customWidth="1"/>
    <col min="12047" max="12047" width="9.25" style="345" bestFit="1" customWidth="1"/>
    <col min="12048" max="12291" width="9" style="345"/>
    <col min="12292" max="12292" width="11.625" style="345" bestFit="1" customWidth="1"/>
    <col min="12293" max="12293" width="9.375" style="345" customWidth="1"/>
    <col min="12294" max="12294" width="15" style="345" bestFit="1" customWidth="1"/>
    <col min="12295" max="12295" width="10.125" style="345" bestFit="1" customWidth="1"/>
    <col min="12296" max="12298" width="9.25" style="345" bestFit="1" customWidth="1"/>
    <col min="12299" max="12299" width="9" style="345"/>
    <col min="12300" max="12300" width="9.5" style="345" bestFit="1" customWidth="1"/>
    <col min="12301" max="12301" width="9" style="345"/>
    <col min="12302" max="12302" width="9.75" style="345" bestFit="1" customWidth="1"/>
    <col min="12303" max="12303" width="9.25" style="345" bestFit="1" customWidth="1"/>
    <col min="12304" max="12547" width="9" style="345"/>
    <col min="12548" max="12548" width="11.625" style="345" bestFit="1" customWidth="1"/>
    <col min="12549" max="12549" width="9.375" style="345" customWidth="1"/>
    <col min="12550" max="12550" width="15" style="345" bestFit="1" customWidth="1"/>
    <col min="12551" max="12551" width="10.125" style="345" bestFit="1" customWidth="1"/>
    <col min="12552" max="12554" width="9.25" style="345" bestFit="1" customWidth="1"/>
    <col min="12555" max="12555" width="9" style="345"/>
    <col min="12556" max="12556" width="9.5" style="345" bestFit="1" customWidth="1"/>
    <col min="12557" max="12557" width="9" style="345"/>
    <col min="12558" max="12558" width="9.75" style="345" bestFit="1" customWidth="1"/>
    <col min="12559" max="12559" width="9.25" style="345" bestFit="1" customWidth="1"/>
    <col min="12560" max="12803" width="9" style="345"/>
    <col min="12804" max="12804" width="11.625" style="345" bestFit="1" customWidth="1"/>
    <col min="12805" max="12805" width="9.375" style="345" customWidth="1"/>
    <col min="12806" max="12806" width="15" style="345" bestFit="1" customWidth="1"/>
    <col min="12807" max="12807" width="10.125" style="345" bestFit="1" customWidth="1"/>
    <col min="12808" max="12810" width="9.25" style="345" bestFit="1" customWidth="1"/>
    <col min="12811" max="12811" width="9" style="345"/>
    <col min="12812" max="12812" width="9.5" style="345" bestFit="1" customWidth="1"/>
    <col min="12813" max="12813" width="9" style="345"/>
    <col min="12814" max="12814" width="9.75" style="345" bestFit="1" customWidth="1"/>
    <col min="12815" max="12815" width="9.25" style="345" bestFit="1" customWidth="1"/>
    <col min="12816" max="13059" width="9" style="345"/>
    <col min="13060" max="13060" width="11.625" style="345" bestFit="1" customWidth="1"/>
    <col min="13061" max="13061" width="9.375" style="345" customWidth="1"/>
    <col min="13062" max="13062" width="15" style="345" bestFit="1" customWidth="1"/>
    <col min="13063" max="13063" width="10.125" style="345" bestFit="1" customWidth="1"/>
    <col min="13064" max="13066" width="9.25" style="345" bestFit="1" customWidth="1"/>
    <col min="13067" max="13067" width="9" style="345"/>
    <col min="13068" max="13068" width="9.5" style="345" bestFit="1" customWidth="1"/>
    <col min="13069" max="13069" width="9" style="345"/>
    <col min="13070" max="13070" width="9.75" style="345" bestFit="1" customWidth="1"/>
    <col min="13071" max="13071" width="9.25" style="345" bestFit="1" customWidth="1"/>
    <col min="13072" max="13315" width="9" style="345"/>
    <col min="13316" max="13316" width="11.625" style="345" bestFit="1" customWidth="1"/>
    <col min="13317" max="13317" width="9.375" style="345" customWidth="1"/>
    <col min="13318" max="13318" width="15" style="345" bestFit="1" customWidth="1"/>
    <col min="13319" max="13319" width="10.125" style="345" bestFit="1" customWidth="1"/>
    <col min="13320" max="13322" width="9.25" style="345" bestFit="1" customWidth="1"/>
    <col min="13323" max="13323" width="9" style="345"/>
    <col min="13324" max="13324" width="9.5" style="345" bestFit="1" customWidth="1"/>
    <col min="13325" max="13325" width="9" style="345"/>
    <col min="13326" max="13326" width="9.75" style="345" bestFit="1" customWidth="1"/>
    <col min="13327" max="13327" width="9.25" style="345" bestFit="1" customWidth="1"/>
    <col min="13328" max="13571" width="9" style="345"/>
    <col min="13572" max="13572" width="11.625" style="345" bestFit="1" customWidth="1"/>
    <col min="13573" max="13573" width="9.375" style="345" customWidth="1"/>
    <col min="13574" max="13574" width="15" style="345" bestFit="1" customWidth="1"/>
    <col min="13575" max="13575" width="10.125" style="345" bestFit="1" customWidth="1"/>
    <col min="13576" max="13578" width="9.25" style="345" bestFit="1" customWidth="1"/>
    <col min="13579" max="13579" width="9" style="345"/>
    <col min="13580" max="13580" width="9.5" style="345" bestFit="1" customWidth="1"/>
    <col min="13581" max="13581" width="9" style="345"/>
    <col min="13582" max="13582" width="9.75" style="345" bestFit="1" customWidth="1"/>
    <col min="13583" max="13583" width="9.25" style="345" bestFit="1" customWidth="1"/>
    <col min="13584" max="13827" width="9" style="345"/>
    <col min="13828" max="13828" width="11.625" style="345" bestFit="1" customWidth="1"/>
    <col min="13829" max="13829" width="9.375" style="345" customWidth="1"/>
    <col min="13830" max="13830" width="15" style="345" bestFit="1" customWidth="1"/>
    <col min="13831" max="13831" width="10.125" style="345" bestFit="1" customWidth="1"/>
    <col min="13832" max="13834" width="9.25" style="345" bestFit="1" customWidth="1"/>
    <col min="13835" max="13835" width="9" style="345"/>
    <col min="13836" max="13836" width="9.5" style="345" bestFit="1" customWidth="1"/>
    <col min="13837" max="13837" width="9" style="345"/>
    <col min="13838" max="13838" width="9.75" style="345" bestFit="1" customWidth="1"/>
    <col min="13839" max="13839" width="9.25" style="345" bestFit="1" customWidth="1"/>
    <col min="13840" max="14083" width="9" style="345"/>
    <col min="14084" max="14084" width="11.625" style="345" bestFit="1" customWidth="1"/>
    <col min="14085" max="14085" width="9.375" style="345" customWidth="1"/>
    <col min="14086" max="14086" width="15" style="345" bestFit="1" customWidth="1"/>
    <col min="14087" max="14087" width="10.125" style="345" bestFit="1" customWidth="1"/>
    <col min="14088" max="14090" width="9.25" style="345" bestFit="1" customWidth="1"/>
    <col min="14091" max="14091" width="9" style="345"/>
    <col min="14092" max="14092" width="9.5" style="345" bestFit="1" customWidth="1"/>
    <col min="14093" max="14093" width="9" style="345"/>
    <col min="14094" max="14094" width="9.75" style="345" bestFit="1" customWidth="1"/>
    <col min="14095" max="14095" width="9.25" style="345" bestFit="1" customWidth="1"/>
    <col min="14096" max="14339" width="9" style="345"/>
    <col min="14340" max="14340" width="11.625" style="345" bestFit="1" customWidth="1"/>
    <col min="14341" max="14341" width="9.375" style="345" customWidth="1"/>
    <col min="14342" max="14342" width="15" style="345" bestFit="1" customWidth="1"/>
    <col min="14343" max="14343" width="10.125" style="345" bestFit="1" customWidth="1"/>
    <col min="14344" max="14346" width="9.25" style="345" bestFit="1" customWidth="1"/>
    <col min="14347" max="14347" width="9" style="345"/>
    <col min="14348" max="14348" width="9.5" style="345" bestFit="1" customWidth="1"/>
    <col min="14349" max="14349" width="9" style="345"/>
    <col min="14350" max="14350" width="9.75" style="345" bestFit="1" customWidth="1"/>
    <col min="14351" max="14351" width="9.25" style="345" bestFit="1" customWidth="1"/>
    <col min="14352" max="14595" width="9" style="345"/>
    <col min="14596" max="14596" width="11.625" style="345" bestFit="1" customWidth="1"/>
    <col min="14597" max="14597" width="9.375" style="345" customWidth="1"/>
    <col min="14598" max="14598" width="15" style="345" bestFit="1" customWidth="1"/>
    <col min="14599" max="14599" width="10.125" style="345" bestFit="1" customWidth="1"/>
    <col min="14600" max="14602" width="9.25" style="345" bestFit="1" customWidth="1"/>
    <col min="14603" max="14603" width="9" style="345"/>
    <col min="14604" max="14604" width="9.5" style="345" bestFit="1" customWidth="1"/>
    <col min="14605" max="14605" width="9" style="345"/>
    <col min="14606" max="14606" width="9.75" style="345" bestFit="1" customWidth="1"/>
    <col min="14607" max="14607" width="9.25" style="345" bestFit="1" customWidth="1"/>
    <col min="14608" max="14851" width="9" style="345"/>
    <col min="14852" max="14852" width="11.625" style="345" bestFit="1" customWidth="1"/>
    <col min="14853" max="14853" width="9.375" style="345" customWidth="1"/>
    <col min="14854" max="14854" width="15" style="345" bestFit="1" customWidth="1"/>
    <col min="14855" max="14855" width="10.125" style="345" bestFit="1" customWidth="1"/>
    <col min="14856" max="14858" width="9.25" style="345" bestFit="1" customWidth="1"/>
    <col min="14859" max="14859" width="9" style="345"/>
    <col min="14860" max="14860" width="9.5" style="345" bestFit="1" customWidth="1"/>
    <col min="14861" max="14861" width="9" style="345"/>
    <col min="14862" max="14862" width="9.75" style="345" bestFit="1" customWidth="1"/>
    <col min="14863" max="14863" width="9.25" style="345" bestFit="1" customWidth="1"/>
    <col min="14864" max="15107" width="9" style="345"/>
    <col min="15108" max="15108" width="11.625" style="345" bestFit="1" customWidth="1"/>
    <col min="15109" max="15109" width="9.375" style="345" customWidth="1"/>
    <col min="15110" max="15110" width="15" style="345" bestFit="1" customWidth="1"/>
    <col min="15111" max="15111" width="10.125" style="345" bestFit="1" customWidth="1"/>
    <col min="15112" max="15114" width="9.25" style="345" bestFit="1" customWidth="1"/>
    <col min="15115" max="15115" width="9" style="345"/>
    <col min="15116" max="15116" width="9.5" style="345" bestFit="1" customWidth="1"/>
    <col min="15117" max="15117" width="9" style="345"/>
    <col min="15118" max="15118" width="9.75" style="345" bestFit="1" customWidth="1"/>
    <col min="15119" max="15119" width="9.25" style="345" bestFit="1" customWidth="1"/>
    <col min="15120" max="15363" width="9" style="345"/>
    <col min="15364" max="15364" width="11.625" style="345" bestFit="1" customWidth="1"/>
    <col min="15365" max="15365" width="9.375" style="345" customWidth="1"/>
    <col min="15366" max="15366" width="15" style="345" bestFit="1" customWidth="1"/>
    <col min="15367" max="15367" width="10.125" style="345" bestFit="1" customWidth="1"/>
    <col min="15368" max="15370" width="9.25" style="345" bestFit="1" customWidth="1"/>
    <col min="15371" max="15371" width="9" style="345"/>
    <col min="15372" max="15372" width="9.5" style="345" bestFit="1" customWidth="1"/>
    <col min="15373" max="15373" width="9" style="345"/>
    <col min="15374" max="15374" width="9.75" style="345" bestFit="1" customWidth="1"/>
    <col min="15375" max="15375" width="9.25" style="345" bestFit="1" customWidth="1"/>
    <col min="15376" max="15619" width="9" style="345"/>
    <col min="15620" max="15620" width="11.625" style="345" bestFit="1" customWidth="1"/>
    <col min="15621" max="15621" width="9.375" style="345" customWidth="1"/>
    <col min="15622" max="15622" width="15" style="345" bestFit="1" customWidth="1"/>
    <col min="15623" max="15623" width="10.125" style="345" bestFit="1" customWidth="1"/>
    <col min="15624" max="15626" width="9.25" style="345" bestFit="1" customWidth="1"/>
    <col min="15627" max="15627" width="9" style="345"/>
    <col min="15628" max="15628" width="9.5" style="345" bestFit="1" customWidth="1"/>
    <col min="15629" max="15629" width="9" style="345"/>
    <col min="15630" max="15630" width="9.75" style="345" bestFit="1" customWidth="1"/>
    <col min="15631" max="15631" width="9.25" style="345" bestFit="1" customWidth="1"/>
    <col min="15632" max="15875" width="9" style="345"/>
    <col min="15876" max="15876" width="11.625" style="345" bestFit="1" customWidth="1"/>
    <col min="15877" max="15877" width="9.375" style="345" customWidth="1"/>
    <col min="15878" max="15878" width="15" style="345" bestFit="1" customWidth="1"/>
    <col min="15879" max="15879" width="10.125" style="345" bestFit="1" customWidth="1"/>
    <col min="15880" max="15882" width="9.25" style="345" bestFit="1" customWidth="1"/>
    <col min="15883" max="15883" width="9" style="345"/>
    <col min="15884" max="15884" width="9.5" style="345" bestFit="1" customWidth="1"/>
    <col min="15885" max="15885" width="9" style="345"/>
    <col min="15886" max="15886" width="9.75" style="345" bestFit="1" customWidth="1"/>
    <col min="15887" max="15887" width="9.25" style="345" bestFit="1" customWidth="1"/>
    <col min="15888" max="16131" width="9" style="345"/>
    <col min="16132" max="16132" width="11.625" style="345" bestFit="1" customWidth="1"/>
    <col min="16133" max="16133" width="9.375" style="345" customWidth="1"/>
    <col min="16134" max="16134" width="15" style="345" bestFit="1" customWidth="1"/>
    <col min="16135" max="16135" width="10.125" style="345" bestFit="1" customWidth="1"/>
    <col min="16136" max="16138" width="9.25" style="345" bestFit="1" customWidth="1"/>
    <col min="16139" max="16139" width="9" style="345"/>
    <col min="16140" max="16140" width="9.5" style="345" bestFit="1" customWidth="1"/>
    <col min="16141" max="16141" width="9" style="345"/>
    <col min="16142" max="16142" width="9.75" style="345" bestFit="1" customWidth="1"/>
    <col min="16143" max="16143" width="9.25" style="345" bestFit="1" customWidth="1"/>
    <col min="16144" max="16384" width="9" style="345"/>
  </cols>
  <sheetData>
    <row r="1" spans="1:7">
      <c r="A1" s="442" t="s">
        <v>481</v>
      </c>
      <c r="C1" s="346"/>
    </row>
    <row r="2" spans="1:7">
      <c r="B2" s="347"/>
      <c r="C2" s="348" t="s">
        <v>419</v>
      </c>
      <c r="D2" s="443">
        <f>IF特性!D2</f>
        <v>43250</v>
      </c>
    </row>
    <row r="3" spans="1:7">
      <c r="C3" s="345" t="s">
        <v>421</v>
      </c>
      <c r="D3" s="345" t="str">
        <f>IF特性!D3</f>
        <v>CQ7A03H1201C9-303H5R2</v>
      </c>
    </row>
    <row r="4" spans="1:7">
      <c r="C4" s="345" t="s">
        <v>423</v>
      </c>
      <c r="D4" s="345" t="s">
        <v>424</v>
      </c>
    </row>
    <row r="5" spans="1:7">
      <c r="C5" s="345" t="s">
        <v>425</v>
      </c>
      <c r="D5" s="345" t="s">
        <v>424</v>
      </c>
    </row>
    <row r="6" spans="1:7">
      <c r="C6" s="345" t="s">
        <v>426</v>
      </c>
      <c r="D6" s="345">
        <f>IF特性!D6</f>
        <v>12</v>
      </c>
    </row>
    <row r="7" spans="1:7">
      <c r="C7" s="345" t="s">
        <v>427</v>
      </c>
      <c r="D7" s="345">
        <f>IF特性!D7</f>
        <v>1</v>
      </c>
    </row>
    <row r="8" spans="1:7">
      <c r="C8" s="345" t="s">
        <v>428</v>
      </c>
      <c r="D8" s="420" t="s">
        <v>429</v>
      </c>
    </row>
    <row r="10" spans="1:7">
      <c r="C10" s="356" t="s">
        <v>432</v>
      </c>
    </row>
    <row r="11" spans="1:7">
      <c r="C11" s="357" t="s">
        <v>433</v>
      </c>
    </row>
    <row r="12" spans="1:7">
      <c r="A12" s="468"/>
    </row>
    <row r="13" spans="1:7">
      <c r="B13" s="473" t="s">
        <v>482</v>
      </c>
    </row>
    <row r="14" spans="1:7">
      <c r="B14" s="474" t="s">
        <v>483</v>
      </c>
      <c r="C14" s="475" t="str">
        <f>$D$5</f>
        <v>記入</v>
      </c>
      <c r="D14" s="476"/>
    </row>
    <row r="15" spans="1:7">
      <c r="B15" s="477" t="s">
        <v>32</v>
      </c>
      <c r="C15" s="478" t="s">
        <v>484</v>
      </c>
      <c r="D15" s="479"/>
      <c r="E15" s="479"/>
      <c r="F15" s="480">
        <f>MAX(F18:F112)</f>
        <v>1.415313597444595E-2</v>
      </c>
      <c r="G15" s="346" t="s">
        <v>485</v>
      </c>
    </row>
    <row r="16" spans="1:7">
      <c r="B16" s="425" t="s">
        <v>486</v>
      </c>
      <c r="C16" s="425" t="s">
        <v>487</v>
      </c>
      <c r="D16" s="425" t="s">
        <v>487</v>
      </c>
      <c r="E16" s="425" t="s">
        <v>487</v>
      </c>
      <c r="F16" s="425" t="s">
        <v>487</v>
      </c>
      <c r="G16" s="481" t="s">
        <v>488</v>
      </c>
    </row>
    <row r="17" spans="2:7">
      <c r="B17" s="425" t="s">
        <v>489</v>
      </c>
      <c r="C17" s="382" t="str">
        <f>IF特性!E15</f>
        <v>No.1</v>
      </c>
      <c r="D17" s="382" t="str">
        <f>IF特性!F15</f>
        <v>No.2</v>
      </c>
      <c r="E17" s="382" t="str">
        <f>IF特性!G15</f>
        <v>No.**</v>
      </c>
      <c r="F17" s="482" t="s">
        <v>454</v>
      </c>
      <c r="G17" s="481" t="s">
        <v>454</v>
      </c>
    </row>
    <row r="18" spans="2:7">
      <c r="B18" s="425">
        <v>360</v>
      </c>
      <c r="C18" s="475">
        <v>2.3646653772148001E-4</v>
      </c>
      <c r="D18" s="475">
        <v>2.77135255745869E-4</v>
      </c>
      <c r="E18" s="475" t="str">
        <f t="shared" ref="E18:E81" si="0">$D$5</f>
        <v>記入</v>
      </c>
      <c r="F18" s="483">
        <f t="shared" ref="F18:F81" si="1">AVERAGE(C18:E18)</f>
        <v>2.5680089673367452E-4</v>
      </c>
      <c r="G18" s="484">
        <f t="shared" ref="G18:G81" si="2">F18/$F$15</f>
        <v>1.814445202797025E-2</v>
      </c>
    </row>
    <row r="19" spans="2:7">
      <c r="B19" s="425">
        <v>365</v>
      </c>
      <c r="C19" s="475">
        <v>1.97176053128136E-4</v>
      </c>
      <c r="D19" s="475">
        <v>3.3457411611763902E-4</v>
      </c>
      <c r="E19" s="475" t="str">
        <f t="shared" si="0"/>
        <v>記入</v>
      </c>
      <c r="F19" s="483">
        <f t="shared" si="1"/>
        <v>2.6587508462288753E-4</v>
      </c>
      <c r="G19" s="484">
        <f t="shared" si="2"/>
        <v>1.8785595298662826E-2</v>
      </c>
    </row>
    <row r="20" spans="2:7">
      <c r="B20" s="425">
        <v>370</v>
      </c>
      <c r="C20" s="475">
        <v>2.4759766198292801E-4</v>
      </c>
      <c r="D20" s="475">
        <v>5.16222538659098E-4</v>
      </c>
      <c r="E20" s="475" t="str">
        <f t="shared" si="0"/>
        <v>記入</v>
      </c>
      <c r="F20" s="483">
        <f t="shared" si="1"/>
        <v>3.8191010032101301E-4</v>
      </c>
      <c r="G20" s="484">
        <f t="shared" si="2"/>
        <v>2.6984132775277996E-2</v>
      </c>
    </row>
    <row r="21" spans="2:7">
      <c r="B21" s="425">
        <v>375</v>
      </c>
      <c r="C21" s="475">
        <v>6.2998020896405595E-4</v>
      </c>
      <c r="D21" s="475">
        <v>4.6923002104636398E-4</v>
      </c>
      <c r="E21" s="475" t="str">
        <f t="shared" si="0"/>
        <v>記入</v>
      </c>
      <c r="F21" s="483">
        <f t="shared" si="1"/>
        <v>5.4960511500520999E-4</v>
      </c>
      <c r="G21" s="484">
        <f t="shared" si="2"/>
        <v>3.8832744629709197E-2</v>
      </c>
    </row>
    <row r="22" spans="2:7">
      <c r="B22" s="425">
        <v>380</v>
      </c>
      <c r="C22" s="475">
        <v>3.7915898636262601E-4</v>
      </c>
      <c r="D22" s="475">
        <v>5.08269328790443E-4</v>
      </c>
      <c r="E22" s="475" t="str">
        <f t="shared" si="0"/>
        <v>記入</v>
      </c>
      <c r="F22" s="483">
        <f t="shared" si="1"/>
        <v>4.437141575765345E-4</v>
      </c>
      <c r="G22" s="484">
        <f t="shared" si="2"/>
        <v>3.1350942884861566E-2</v>
      </c>
    </row>
    <row r="23" spans="2:7">
      <c r="B23" s="425">
        <v>385</v>
      </c>
      <c r="C23" s="475">
        <v>4.57230695546748E-4</v>
      </c>
      <c r="D23" s="475">
        <v>3.6060687288482602E-4</v>
      </c>
      <c r="E23" s="475" t="str">
        <f t="shared" si="0"/>
        <v>記入</v>
      </c>
      <c r="F23" s="483">
        <f t="shared" si="1"/>
        <v>4.0891878421578701E-4</v>
      </c>
      <c r="G23" s="484">
        <f t="shared" si="2"/>
        <v>2.8892450758199888E-2</v>
      </c>
    </row>
    <row r="24" spans="2:7">
      <c r="B24" s="425">
        <v>390</v>
      </c>
      <c r="C24" s="475">
        <v>1.7677915409304901E-4</v>
      </c>
      <c r="D24" s="475">
        <v>1.4153205668865099E-4</v>
      </c>
      <c r="E24" s="475" t="str">
        <f t="shared" si="0"/>
        <v>記入</v>
      </c>
      <c r="F24" s="483">
        <f t="shared" si="1"/>
        <v>1.5915560539084999E-4</v>
      </c>
      <c r="G24" s="484">
        <f t="shared" si="2"/>
        <v>1.1245253749996593E-2</v>
      </c>
    </row>
    <row r="25" spans="2:7">
      <c r="B25" s="425">
        <v>395</v>
      </c>
      <c r="C25" s="475">
        <v>1.7168643393355599E-4</v>
      </c>
      <c r="D25" s="475">
        <v>2.22189317481174E-4</v>
      </c>
      <c r="E25" s="475" t="str">
        <f t="shared" si="0"/>
        <v>記入</v>
      </c>
      <c r="F25" s="483">
        <f t="shared" si="1"/>
        <v>1.96937875707365E-4</v>
      </c>
      <c r="G25" s="484">
        <f t="shared" si="2"/>
        <v>1.3914787228988978E-2</v>
      </c>
    </row>
    <row r="26" spans="2:7">
      <c r="B26" s="425">
        <v>400</v>
      </c>
      <c r="C26" s="475">
        <v>2.0066119240127401E-4</v>
      </c>
      <c r="D26" s="475">
        <v>2.12468530383639E-4</v>
      </c>
      <c r="E26" s="475" t="str">
        <f t="shared" si="0"/>
        <v>記入</v>
      </c>
      <c r="F26" s="483">
        <f t="shared" si="1"/>
        <v>2.0656486139245651E-4</v>
      </c>
      <c r="G26" s="484">
        <f t="shared" si="2"/>
        <v>1.4594988825474269E-2</v>
      </c>
    </row>
    <row r="27" spans="2:7">
      <c r="B27" s="425">
        <v>405</v>
      </c>
      <c r="C27" s="475">
        <v>1.1055967656896501E-4</v>
      </c>
      <c r="D27" s="475">
        <v>1.15365284369037E-4</v>
      </c>
      <c r="E27" s="475" t="str">
        <f t="shared" si="0"/>
        <v>記入</v>
      </c>
      <c r="F27" s="483">
        <f t="shared" si="1"/>
        <v>1.12962480469001E-4</v>
      </c>
      <c r="G27" s="484">
        <f t="shared" si="2"/>
        <v>7.9814452904966963E-3</v>
      </c>
    </row>
    <row r="28" spans="2:7">
      <c r="B28" s="425">
        <v>410</v>
      </c>
      <c r="C28" s="475">
        <v>9.7173786551150206E-5</v>
      </c>
      <c r="D28" s="475">
        <v>9.39000248911443E-5</v>
      </c>
      <c r="E28" s="475" t="str">
        <f t="shared" si="0"/>
        <v>記入</v>
      </c>
      <c r="F28" s="483">
        <f t="shared" si="1"/>
        <v>9.5536905721147253E-5</v>
      </c>
      <c r="G28" s="484">
        <f t="shared" si="2"/>
        <v>6.7502287757033449E-3</v>
      </c>
    </row>
    <row r="29" spans="2:7">
      <c r="B29" s="425">
        <v>415</v>
      </c>
      <c r="C29" s="475">
        <v>1.2787235597162399E-4</v>
      </c>
      <c r="D29" s="475">
        <v>1.3737686304391E-4</v>
      </c>
      <c r="E29" s="475" t="str">
        <f t="shared" si="0"/>
        <v>記入</v>
      </c>
      <c r="F29" s="483">
        <f t="shared" si="1"/>
        <v>1.3262460950776698E-4</v>
      </c>
      <c r="G29" s="484">
        <f t="shared" si="2"/>
        <v>9.3706871570531074E-3</v>
      </c>
    </row>
    <row r="30" spans="2:7">
      <c r="B30" s="425">
        <v>420</v>
      </c>
      <c r="C30" s="475">
        <v>2.3267965583987499E-4</v>
      </c>
      <c r="D30" s="475">
        <v>2.2102791724093199E-4</v>
      </c>
      <c r="E30" s="475" t="str">
        <f t="shared" si="0"/>
        <v>記入</v>
      </c>
      <c r="F30" s="483">
        <f t="shared" si="1"/>
        <v>2.268537865404035E-4</v>
      </c>
      <c r="G30" s="484">
        <f t="shared" si="2"/>
        <v>1.6028517421863044E-2</v>
      </c>
    </row>
    <row r="31" spans="2:7">
      <c r="B31" s="425">
        <v>425</v>
      </c>
      <c r="C31" s="475">
        <v>3.93875126842514E-4</v>
      </c>
      <c r="D31" s="475">
        <v>4.0463230399138099E-4</v>
      </c>
      <c r="E31" s="475" t="str">
        <f t="shared" si="0"/>
        <v>記入</v>
      </c>
      <c r="F31" s="483">
        <f t="shared" si="1"/>
        <v>3.9925371541694749E-4</v>
      </c>
      <c r="G31" s="484">
        <f t="shared" si="2"/>
        <v>2.8209558371926614E-2</v>
      </c>
    </row>
    <row r="32" spans="2:7">
      <c r="B32" s="425">
        <v>430</v>
      </c>
      <c r="C32" s="475">
        <v>7.1858038531140303E-4</v>
      </c>
      <c r="D32" s="475">
        <v>6.8253661495768002E-4</v>
      </c>
      <c r="E32" s="475" t="str">
        <f t="shared" si="0"/>
        <v>記入</v>
      </c>
      <c r="F32" s="483">
        <f t="shared" si="1"/>
        <v>7.0055850013454153E-4</v>
      </c>
      <c r="G32" s="484">
        <f t="shared" si="2"/>
        <v>4.949846460879255E-2</v>
      </c>
    </row>
    <row r="33" spans="2:7">
      <c r="B33" s="425">
        <v>435</v>
      </c>
      <c r="C33" s="475">
        <v>1.2305195021645799E-3</v>
      </c>
      <c r="D33" s="475">
        <v>1.20662191966531E-3</v>
      </c>
      <c r="E33" s="475" t="str">
        <f t="shared" si="0"/>
        <v>記入</v>
      </c>
      <c r="F33" s="483">
        <f t="shared" si="1"/>
        <v>1.218570710914945E-3</v>
      </c>
      <c r="G33" s="484">
        <f t="shared" si="2"/>
        <v>8.6098989871582016E-2</v>
      </c>
    </row>
    <row r="34" spans="2:7">
      <c r="B34" s="425">
        <v>440</v>
      </c>
      <c r="C34" s="475">
        <v>2.04651972269223E-3</v>
      </c>
      <c r="D34" s="475">
        <v>2.0109602133548299E-3</v>
      </c>
      <c r="E34" s="475" t="str">
        <f t="shared" si="0"/>
        <v>記入</v>
      </c>
      <c r="F34" s="483">
        <f t="shared" si="1"/>
        <v>2.0287399680235301E-3</v>
      </c>
      <c r="G34" s="484">
        <f t="shared" si="2"/>
        <v>0.14334208133706203</v>
      </c>
    </row>
    <row r="35" spans="2:7">
      <c r="B35" s="425">
        <v>445</v>
      </c>
      <c r="C35" s="475">
        <v>3.2429450194062801E-3</v>
      </c>
      <c r="D35" s="475">
        <v>3.1846703989596302E-3</v>
      </c>
      <c r="E35" s="475" t="str">
        <f t="shared" si="0"/>
        <v>記入</v>
      </c>
      <c r="F35" s="483">
        <f t="shared" si="1"/>
        <v>3.2138077091829554E-3</v>
      </c>
      <c r="G35" s="484">
        <f t="shared" si="2"/>
        <v>0.22707389478809595</v>
      </c>
    </row>
    <row r="36" spans="2:7">
      <c r="B36" s="425">
        <v>450</v>
      </c>
      <c r="C36" s="475">
        <v>4.9138054379344303E-3</v>
      </c>
      <c r="D36" s="475">
        <v>4.8450547409417902E-3</v>
      </c>
      <c r="E36" s="475" t="str">
        <f t="shared" si="0"/>
        <v>記入</v>
      </c>
      <c r="F36" s="483">
        <f t="shared" si="1"/>
        <v>4.8794300894381103E-3</v>
      </c>
      <c r="G36" s="484">
        <f t="shared" si="2"/>
        <v>0.34475964183825519</v>
      </c>
    </row>
    <row r="37" spans="2:7">
      <c r="B37" s="425">
        <v>455</v>
      </c>
      <c r="C37" s="475">
        <v>6.6725650529149902E-3</v>
      </c>
      <c r="D37" s="475">
        <v>6.5738600420483899E-3</v>
      </c>
      <c r="E37" s="475" t="str">
        <f t="shared" si="0"/>
        <v>記入</v>
      </c>
      <c r="F37" s="483">
        <f t="shared" si="1"/>
        <v>6.62321254748169E-3</v>
      </c>
      <c r="G37" s="484">
        <f t="shared" si="2"/>
        <v>0.46796784539060204</v>
      </c>
    </row>
    <row r="38" spans="2:7">
      <c r="B38" s="425">
        <v>460</v>
      </c>
      <c r="C38" s="475">
        <v>6.5407151781146601E-3</v>
      </c>
      <c r="D38" s="475">
        <v>6.4880099041662101E-3</v>
      </c>
      <c r="E38" s="475" t="str">
        <f t="shared" si="0"/>
        <v>記入</v>
      </c>
      <c r="F38" s="483">
        <f t="shared" si="1"/>
        <v>6.5143625411404355E-3</v>
      </c>
      <c r="G38" s="484">
        <f t="shared" si="2"/>
        <v>0.46027696991694111</v>
      </c>
    </row>
    <row r="39" spans="2:7">
      <c r="B39" s="425">
        <v>465</v>
      </c>
      <c r="C39" s="475">
        <v>4.5971672258779397E-3</v>
      </c>
      <c r="D39" s="475">
        <v>4.5759324559773804E-3</v>
      </c>
      <c r="E39" s="475" t="str">
        <f t="shared" si="0"/>
        <v>記入</v>
      </c>
      <c r="F39" s="483">
        <f t="shared" si="1"/>
        <v>4.5865498409276596E-3</v>
      </c>
      <c r="G39" s="484">
        <f t="shared" si="2"/>
        <v>0.32406597726531122</v>
      </c>
    </row>
    <row r="40" spans="2:7">
      <c r="B40" s="425">
        <v>470</v>
      </c>
      <c r="C40" s="475">
        <v>3.2885107624101499E-3</v>
      </c>
      <c r="D40" s="475">
        <v>3.2733275788579298E-3</v>
      </c>
      <c r="E40" s="475" t="str">
        <f t="shared" si="0"/>
        <v>記入</v>
      </c>
      <c r="F40" s="483">
        <f t="shared" si="1"/>
        <v>3.2809191706340401E-3</v>
      </c>
      <c r="G40" s="484">
        <f t="shared" si="2"/>
        <v>0.23181570335774843</v>
      </c>
    </row>
    <row r="41" spans="2:7">
      <c r="B41" s="425">
        <v>475</v>
      </c>
      <c r="C41" s="475">
        <v>2.7403877614951199E-3</v>
      </c>
      <c r="D41" s="475">
        <v>2.7424030894450699E-3</v>
      </c>
      <c r="E41" s="475" t="str">
        <f t="shared" si="0"/>
        <v>記入</v>
      </c>
      <c r="F41" s="483">
        <f t="shared" si="1"/>
        <v>2.7413954254700947E-3</v>
      </c>
      <c r="G41" s="484">
        <f t="shared" si="2"/>
        <v>0.19369526516383317</v>
      </c>
    </row>
    <row r="42" spans="2:7">
      <c r="B42" s="425">
        <v>480</v>
      </c>
      <c r="C42" s="475">
        <v>2.32809201071498E-3</v>
      </c>
      <c r="D42" s="475">
        <v>2.32280886419477E-3</v>
      </c>
      <c r="E42" s="475" t="str">
        <f t="shared" si="0"/>
        <v>記入</v>
      </c>
      <c r="F42" s="483">
        <f t="shared" si="1"/>
        <v>2.325450437454875E-3</v>
      </c>
      <c r="G42" s="484">
        <f t="shared" si="2"/>
        <v>0.16430637292353922</v>
      </c>
    </row>
    <row r="43" spans="2:7">
      <c r="B43" s="425">
        <v>485</v>
      </c>
      <c r="C43" s="475">
        <v>2.3396028263154901E-3</v>
      </c>
      <c r="D43" s="475">
        <v>2.3350264091736802E-3</v>
      </c>
      <c r="E43" s="475" t="str">
        <f t="shared" si="0"/>
        <v>記入</v>
      </c>
      <c r="F43" s="483">
        <f t="shared" si="1"/>
        <v>2.3373146177445851E-3</v>
      </c>
      <c r="G43" s="484">
        <f t="shared" si="2"/>
        <v>0.16514464511361296</v>
      </c>
    </row>
    <row r="44" spans="2:7">
      <c r="B44" s="425">
        <v>490</v>
      </c>
      <c r="C44" s="475">
        <v>2.8692346591452701E-3</v>
      </c>
      <c r="D44" s="475">
        <v>2.8475944267456698E-3</v>
      </c>
      <c r="E44" s="475" t="str">
        <f t="shared" si="0"/>
        <v>記入</v>
      </c>
      <c r="F44" s="483">
        <f t="shared" si="1"/>
        <v>2.8584145429454699E-3</v>
      </c>
      <c r="G44" s="484">
        <f t="shared" si="2"/>
        <v>0.2019633350592018</v>
      </c>
    </row>
    <row r="45" spans="2:7">
      <c r="B45" s="425">
        <v>495</v>
      </c>
      <c r="C45" s="475">
        <v>3.6652892733920902E-3</v>
      </c>
      <c r="D45" s="475">
        <v>3.62610411682669E-3</v>
      </c>
      <c r="E45" s="475" t="str">
        <f t="shared" si="0"/>
        <v>記入</v>
      </c>
      <c r="F45" s="483">
        <f t="shared" si="1"/>
        <v>3.6456966951093901E-3</v>
      </c>
      <c r="G45" s="484">
        <f t="shared" si="2"/>
        <v>0.25758932166636711</v>
      </c>
    </row>
    <row r="46" spans="2:7">
      <c r="B46" s="425">
        <v>500</v>
      </c>
      <c r="C46" s="475">
        <v>4.5918727222126398E-3</v>
      </c>
      <c r="D46" s="475">
        <v>4.5454448485882102E-3</v>
      </c>
      <c r="E46" s="475" t="str">
        <f t="shared" si="0"/>
        <v>記入</v>
      </c>
      <c r="F46" s="483">
        <f t="shared" si="1"/>
        <v>4.568658785400425E-3</v>
      </c>
      <c r="G46" s="484">
        <f t="shared" si="2"/>
        <v>0.3228018718713167</v>
      </c>
    </row>
    <row r="47" spans="2:7">
      <c r="B47" s="425">
        <v>505</v>
      </c>
      <c r="C47" s="475">
        <v>5.5551540378340203E-3</v>
      </c>
      <c r="D47" s="475">
        <v>5.5123408973774303E-3</v>
      </c>
      <c r="E47" s="475" t="str">
        <f t="shared" si="0"/>
        <v>記入</v>
      </c>
      <c r="F47" s="483">
        <f t="shared" si="1"/>
        <v>5.5337474676057253E-3</v>
      </c>
      <c r="G47" s="484">
        <f t="shared" si="2"/>
        <v>0.39099090672181253</v>
      </c>
    </row>
    <row r="48" spans="2:7">
      <c r="B48" s="425">
        <v>510</v>
      </c>
      <c r="C48" s="475">
        <v>6.3918331677228404E-3</v>
      </c>
      <c r="D48" s="475">
        <v>6.3508747245494797E-3</v>
      </c>
      <c r="E48" s="475" t="str">
        <f t="shared" si="0"/>
        <v>記入</v>
      </c>
      <c r="F48" s="483">
        <f t="shared" si="1"/>
        <v>6.3713539461361605E-3</v>
      </c>
      <c r="G48" s="484">
        <f t="shared" si="2"/>
        <v>0.45017259479735755</v>
      </c>
    </row>
    <row r="49" spans="2:7">
      <c r="B49" s="425">
        <v>515</v>
      </c>
      <c r="C49" s="475">
        <v>6.9317980566134503E-3</v>
      </c>
      <c r="D49" s="475">
        <v>6.9006956960838599E-3</v>
      </c>
      <c r="E49" s="475" t="str">
        <f t="shared" si="0"/>
        <v>記入</v>
      </c>
      <c r="F49" s="483">
        <f t="shared" si="1"/>
        <v>6.9162468763486551E-3</v>
      </c>
      <c r="G49" s="484">
        <f t="shared" si="2"/>
        <v>0.48867239662193696</v>
      </c>
    </row>
    <row r="50" spans="2:7">
      <c r="B50" s="425">
        <v>520</v>
      </c>
      <c r="C50" s="475">
        <v>7.2749089216806598E-3</v>
      </c>
      <c r="D50" s="475">
        <v>7.2493134006238096E-3</v>
      </c>
      <c r="E50" s="475" t="str">
        <f t="shared" si="0"/>
        <v>記入</v>
      </c>
      <c r="F50" s="483">
        <f t="shared" si="1"/>
        <v>7.2621111611522347E-3</v>
      </c>
      <c r="G50" s="484">
        <f t="shared" si="2"/>
        <v>0.51310968638076149</v>
      </c>
    </row>
    <row r="51" spans="2:7">
      <c r="B51" s="425">
        <v>525</v>
      </c>
      <c r="C51" s="475">
        <v>7.4977996152286496E-3</v>
      </c>
      <c r="D51" s="475">
        <v>7.4769692595132902E-3</v>
      </c>
      <c r="E51" s="475" t="str">
        <f t="shared" si="0"/>
        <v>記入</v>
      </c>
      <c r="F51" s="483">
        <f t="shared" si="1"/>
        <v>7.4873844373709699E-3</v>
      </c>
      <c r="G51" s="484">
        <f t="shared" si="2"/>
        <v>0.52902653170927916</v>
      </c>
    </row>
    <row r="52" spans="2:7">
      <c r="B52" s="425">
        <v>530</v>
      </c>
      <c r="C52" s="475">
        <v>7.6253061335427204E-3</v>
      </c>
      <c r="D52" s="475">
        <v>7.5963033549358702E-3</v>
      </c>
      <c r="E52" s="475" t="str">
        <f t="shared" si="0"/>
        <v>記入</v>
      </c>
      <c r="F52" s="483">
        <f t="shared" si="1"/>
        <v>7.6108047442392957E-3</v>
      </c>
      <c r="G52" s="484">
        <f t="shared" si="2"/>
        <v>0.53774688224439493</v>
      </c>
    </row>
    <row r="53" spans="2:7">
      <c r="B53" s="425">
        <v>535</v>
      </c>
      <c r="C53" s="475">
        <v>7.7756516202119397E-3</v>
      </c>
      <c r="D53" s="475">
        <v>7.74495483099255E-3</v>
      </c>
      <c r="E53" s="475" t="str">
        <f t="shared" si="0"/>
        <v>記入</v>
      </c>
      <c r="F53" s="483">
        <f t="shared" si="1"/>
        <v>7.7603032256022449E-3</v>
      </c>
      <c r="G53" s="484">
        <f t="shared" si="2"/>
        <v>0.54830980495162207</v>
      </c>
    </row>
    <row r="54" spans="2:7">
      <c r="B54" s="425">
        <v>540</v>
      </c>
      <c r="C54" s="475">
        <v>7.9603343855592697E-3</v>
      </c>
      <c r="D54" s="475">
        <v>7.9215976968138695E-3</v>
      </c>
      <c r="E54" s="475" t="str">
        <f t="shared" si="0"/>
        <v>記入</v>
      </c>
      <c r="F54" s="483">
        <f t="shared" si="1"/>
        <v>7.9409660411865687E-3</v>
      </c>
      <c r="G54" s="484">
        <f t="shared" si="2"/>
        <v>0.5610746661039856</v>
      </c>
    </row>
    <row r="55" spans="2:7">
      <c r="B55" s="425">
        <v>545</v>
      </c>
      <c r="C55" s="475">
        <v>8.1552830690417091E-3</v>
      </c>
      <c r="D55" s="475">
        <v>8.1434274414206708E-3</v>
      </c>
      <c r="E55" s="475" t="str">
        <f t="shared" si="0"/>
        <v>記入</v>
      </c>
      <c r="F55" s="483">
        <f t="shared" si="1"/>
        <v>8.1493552552311908E-3</v>
      </c>
      <c r="G55" s="484">
        <f t="shared" si="2"/>
        <v>0.57579855587801709</v>
      </c>
    </row>
    <row r="56" spans="2:7">
      <c r="B56" s="425">
        <v>550</v>
      </c>
      <c r="C56" s="475">
        <v>8.3985534621150108E-3</v>
      </c>
      <c r="D56" s="475">
        <v>8.35710062439202E-3</v>
      </c>
      <c r="E56" s="475" t="str">
        <f t="shared" si="0"/>
        <v>記入</v>
      </c>
      <c r="F56" s="483">
        <f t="shared" si="1"/>
        <v>8.3778270432535162E-3</v>
      </c>
      <c r="G56" s="484">
        <f t="shared" si="2"/>
        <v>0.59194139435811377</v>
      </c>
    </row>
    <row r="57" spans="2:7">
      <c r="B57" s="425">
        <v>555</v>
      </c>
      <c r="C57" s="475">
        <v>8.6598892873793205E-3</v>
      </c>
      <c r="D57" s="475">
        <v>8.6422484759118602E-3</v>
      </c>
      <c r="E57" s="475" t="str">
        <f t="shared" si="0"/>
        <v>記入</v>
      </c>
      <c r="F57" s="483">
        <f t="shared" si="1"/>
        <v>8.6510688816455912E-3</v>
      </c>
      <c r="G57" s="484">
        <f t="shared" si="2"/>
        <v>0.61124749294187808</v>
      </c>
    </row>
    <row r="58" spans="2:7">
      <c r="B58" s="425">
        <v>560</v>
      </c>
      <c r="C58" s="475">
        <v>8.9201223819630592E-3</v>
      </c>
      <c r="D58" s="475">
        <v>8.9064752208171394E-3</v>
      </c>
      <c r="E58" s="475" t="str">
        <f t="shared" si="0"/>
        <v>記入</v>
      </c>
      <c r="F58" s="483">
        <f t="shared" si="1"/>
        <v>8.9132988013901002E-3</v>
      </c>
      <c r="G58" s="484">
        <f t="shared" si="2"/>
        <v>0.62977553649476803</v>
      </c>
    </row>
    <row r="59" spans="2:7">
      <c r="B59" s="425">
        <v>565</v>
      </c>
      <c r="C59" s="475">
        <v>9.1964127636067396E-3</v>
      </c>
      <c r="D59" s="475">
        <v>9.1822964092621792E-3</v>
      </c>
      <c r="E59" s="475" t="str">
        <f t="shared" si="0"/>
        <v>記入</v>
      </c>
      <c r="F59" s="483">
        <f t="shared" si="1"/>
        <v>9.1893545864344603E-3</v>
      </c>
      <c r="G59" s="484">
        <f t="shared" si="2"/>
        <v>0.64928045650279953</v>
      </c>
    </row>
    <row r="60" spans="2:7">
      <c r="B60" s="425">
        <v>570</v>
      </c>
      <c r="C60" s="475">
        <v>9.4710752893445594E-3</v>
      </c>
      <c r="D60" s="475">
        <v>9.4363138777476905E-3</v>
      </c>
      <c r="E60" s="475" t="str">
        <f t="shared" si="0"/>
        <v>記入</v>
      </c>
      <c r="F60" s="483">
        <f t="shared" si="1"/>
        <v>9.4536945835461249E-3</v>
      </c>
      <c r="G60" s="484">
        <f t="shared" si="2"/>
        <v>0.66795758908945313</v>
      </c>
    </row>
    <row r="61" spans="2:7">
      <c r="B61" s="425">
        <v>575</v>
      </c>
      <c r="C61" s="475">
        <v>9.7506972543143795E-3</v>
      </c>
      <c r="D61" s="475">
        <v>9.7065816182630403E-3</v>
      </c>
      <c r="E61" s="475" t="str">
        <f t="shared" si="0"/>
        <v>記入</v>
      </c>
      <c r="F61" s="483">
        <f t="shared" si="1"/>
        <v>9.7286394362887108E-3</v>
      </c>
      <c r="G61" s="484">
        <f t="shared" si="2"/>
        <v>0.68738401537681515</v>
      </c>
    </row>
    <row r="62" spans="2:7">
      <c r="B62" s="425">
        <v>580</v>
      </c>
      <c r="C62" s="475">
        <v>1.00660539195556E-2</v>
      </c>
      <c r="D62" s="475">
        <v>1.0034834821942E-2</v>
      </c>
      <c r="E62" s="475" t="str">
        <f t="shared" si="0"/>
        <v>記入</v>
      </c>
      <c r="F62" s="483">
        <f t="shared" si="1"/>
        <v>1.00504443707488E-2</v>
      </c>
      <c r="G62" s="484">
        <f t="shared" si="2"/>
        <v>0.71012137443569234</v>
      </c>
    </row>
    <row r="63" spans="2:7">
      <c r="B63" s="425">
        <v>585</v>
      </c>
      <c r="C63" s="475">
        <v>1.04461457293004E-2</v>
      </c>
      <c r="D63" s="475">
        <v>1.04151088330291E-2</v>
      </c>
      <c r="E63" s="475" t="str">
        <f t="shared" si="0"/>
        <v>記入</v>
      </c>
      <c r="F63" s="483">
        <f t="shared" si="1"/>
        <v>1.0430627281164749E-2</v>
      </c>
      <c r="G63" s="484">
        <f t="shared" si="2"/>
        <v>0.7369834713661807</v>
      </c>
    </row>
    <row r="64" spans="2:7">
      <c r="B64" s="425">
        <v>590</v>
      </c>
      <c r="C64" s="475">
        <v>1.08457000055094E-2</v>
      </c>
      <c r="D64" s="475">
        <v>1.0812152055312999E-2</v>
      </c>
      <c r="E64" s="475" t="str">
        <f t="shared" si="0"/>
        <v>記入</v>
      </c>
      <c r="F64" s="483">
        <f t="shared" si="1"/>
        <v>1.08289260304112E-2</v>
      </c>
      <c r="G64" s="484">
        <f t="shared" si="2"/>
        <v>0.76512555591660092</v>
      </c>
    </row>
    <row r="65" spans="2:7">
      <c r="B65" s="425">
        <v>595</v>
      </c>
      <c r="C65" s="475">
        <v>1.1294271861573901E-2</v>
      </c>
      <c r="D65" s="475">
        <v>1.1259277124933201E-2</v>
      </c>
      <c r="E65" s="475" t="str">
        <f t="shared" si="0"/>
        <v>記入</v>
      </c>
      <c r="F65" s="483">
        <f t="shared" si="1"/>
        <v>1.1276774493253551E-2</v>
      </c>
      <c r="G65" s="484">
        <f t="shared" si="2"/>
        <v>0.79676861111305763</v>
      </c>
    </row>
    <row r="66" spans="2:7">
      <c r="B66" s="425">
        <v>600</v>
      </c>
      <c r="C66" s="475">
        <v>1.17878117575174E-2</v>
      </c>
      <c r="D66" s="475">
        <v>1.1741525972024E-2</v>
      </c>
      <c r="E66" s="475" t="str">
        <f t="shared" si="0"/>
        <v>記入</v>
      </c>
      <c r="F66" s="483">
        <f t="shared" si="1"/>
        <v>1.17646688647707E-2</v>
      </c>
      <c r="G66" s="484">
        <f t="shared" si="2"/>
        <v>0.83124113878452643</v>
      </c>
    </row>
    <row r="67" spans="2:7">
      <c r="B67" s="425">
        <v>605</v>
      </c>
      <c r="C67" s="475">
        <v>1.23279427521416E-2</v>
      </c>
      <c r="D67" s="475">
        <v>1.2277028069963501E-2</v>
      </c>
      <c r="E67" s="475" t="str">
        <f t="shared" si="0"/>
        <v>記入</v>
      </c>
      <c r="F67" s="483">
        <f t="shared" si="1"/>
        <v>1.2302485411052552E-2</v>
      </c>
      <c r="G67" s="484">
        <f t="shared" si="2"/>
        <v>0.86924095361375586</v>
      </c>
    </row>
    <row r="68" spans="2:7">
      <c r="B68" s="425">
        <v>610</v>
      </c>
      <c r="C68" s="475">
        <v>1.28814619935633E-2</v>
      </c>
      <c r="D68" s="475">
        <v>1.28396421248138E-2</v>
      </c>
      <c r="E68" s="475" t="str">
        <f t="shared" si="0"/>
        <v>記入</v>
      </c>
      <c r="F68" s="483">
        <f t="shared" si="1"/>
        <v>1.2860552059188551E-2</v>
      </c>
      <c r="G68" s="484">
        <f t="shared" si="2"/>
        <v>0.90867155395163224</v>
      </c>
    </row>
    <row r="69" spans="2:7">
      <c r="B69" s="425">
        <v>615</v>
      </c>
      <c r="C69" s="475">
        <v>1.33769684077111E-2</v>
      </c>
      <c r="D69" s="475">
        <v>1.33379734458863E-2</v>
      </c>
      <c r="E69" s="475" t="str">
        <f t="shared" si="0"/>
        <v>記入</v>
      </c>
      <c r="F69" s="483">
        <f t="shared" si="1"/>
        <v>1.33574709267987E-2</v>
      </c>
      <c r="G69" s="484">
        <f t="shared" si="2"/>
        <v>0.94378171388419818</v>
      </c>
    </row>
    <row r="70" spans="2:7">
      <c r="B70" s="425">
        <v>620</v>
      </c>
      <c r="C70" s="475">
        <v>1.37748936018067E-2</v>
      </c>
      <c r="D70" s="475">
        <v>1.3720171221851299E-2</v>
      </c>
      <c r="E70" s="475" t="str">
        <f t="shared" si="0"/>
        <v>記入</v>
      </c>
      <c r="F70" s="483">
        <f t="shared" si="1"/>
        <v>1.3747532411829E-2</v>
      </c>
      <c r="G70" s="484">
        <f t="shared" si="2"/>
        <v>0.97134178860788989</v>
      </c>
    </row>
    <row r="71" spans="2:7">
      <c r="B71" s="425">
        <v>625</v>
      </c>
      <c r="C71" s="475">
        <v>1.4061629083697199E-2</v>
      </c>
      <c r="D71" s="475">
        <v>1.4009977186365E-2</v>
      </c>
      <c r="E71" s="475" t="str">
        <f t="shared" si="0"/>
        <v>記入</v>
      </c>
      <c r="F71" s="483">
        <f t="shared" si="1"/>
        <v>1.40358031350311E-2</v>
      </c>
      <c r="G71" s="484">
        <f t="shared" si="2"/>
        <v>0.99170976385539578</v>
      </c>
    </row>
    <row r="72" spans="2:7">
      <c r="B72" s="425">
        <v>630</v>
      </c>
      <c r="C72" s="475">
        <v>1.41846577914651E-2</v>
      </c>
      <c r="D72" s="475">
        <v>1.41216141574268E-2</v>
      </c>
      <c r="E72" s="475" t="str">
        <f t="shared" si="0"/>
        <v>記入</v>
      </c>
      <c r="F72" s="483">
        <f t="shared" si="1"/>
        <v>1.415313597444595E-2</v>
      </c>
      <c r="G72" s="484">
        <f t="shared" si="2"/>
        <v>1</v>
      </c>
    </row>
    <row r="73" spans="2:7">
      <c r="B73" s="425">
        <v>635</v>
      </c>
      <c r="C73" s="475">
        <v>1.4144341509138399E-2</v>
      </c>
      <c r="D73" s="475">
        <v>1.40988319685901E-2</v>
      </c>
      <c r="E73" s="475" t="str">
        <f t="shared" si="0"/>
        <v>記入</v>
      </c>
      <c r="F73" s="483">
        <f t="shared" si="1"/>
        <v>1.412158673886425E-2</v>
      </c>
      <c r="G73" s="484">
        <f t="shared" si="2"/>
        <v>0.99777086607246168</v>
      </c>
    </row>
    <row r="74" spans="2:7">
      <c r="B74" s="425">
        <v>640</v>
      </c>
      <c r="C74" s="475">
        <v>1.3935068904160099E-2</v>
      </c>
      <c r="D74" s="475">
        <v>1.38712193729738E-2</v>
      </c>
      <c r="E74" s="475" t="str">
        <f t="shared" si="0"/>
        <v>記入</v>
      </c>
      <c r="F74" s="483">
        <f t="shared" si="1"/>
        <v>1.3903144138566949E-2</v>
      </c>
      <c r="G74" s="484">
        <f t="shared" si="2"/>
        <v>0.98233664706321122</v>
      </c>
    </row>
    <row r="75" spans="2:7">
      <c r="B75" s="425">
        <v>645</v>
      </c>
      <c r="C75" s="475">
        <v>1.35715229530372E-2</v>
      </c>
      <c r="D75" s="475">
        <v>1.3510374232164399E-2</v>
      </c>
      <c r="E75" s="475" t="str">
        <f t="shared" si="0"/>
        <v>記入</v>
      </c>
      <c r="F75" s="483">
        <f t="shared" si="1"/>
        <v>1.3540948592600799E-2</v>
      </c>
      <c r="G75" s="484">
        <f t="shared" si="2"/>
        <v>0.95674546030289831</v>
      </c>
    </row>
    <row r="76" spans="2:7">
      <c r="B76" s="425">
        <v>650</v>
      </c>
      <c r="C76" s="475">
        <v>1.3074804827645401E-2</v>
      </c>
      <c r="D76" s="475">
        <v>1.2994928913574301E-2</v>
      </c>
      <c r="E76" s="475" t="str">
        <f t="shared" si="0"/>
        <v>記入</v>
      </c>
      <c r="F76" s="483">
        <f t="shared" si="1"/>
        <v>1.3034866870609851E-2</v>
      </c>
      <c r="G76" s="484">
        <f t="shared" si="2"/>
        <v>0.9209878923049154</v>
      </c>
    </row>
    <row r="77" spans="2:7">
      <c r="B77" s="425">
        <v>655</v>
      </c>
      <c r="C77" s="475">
        <v>1.24276562775163E-2</v>
      </c>
      <c r="D77" s="475">
        <v>1.2364195230383099E-2</v>
      </c>
      <c r="E77" s="475" t="str">
        <f t="shared" si="0"/>
        <v>記入</v>
      </c>
      <c r="F77" s="483">
        <f t="shared" si="1"/>
        <v>1.23959257539497E-2</v>
      </c>
      <c r="G77" s="484">
        <f t="shared" si="2"/>
        <v>0.87584304823546077</v>
      </c>
    </row>
    <row r="78" spans="2:7">
      <c r="B78" s="425">
        <v>660</v>
      </c>
      <c r="C78" s="475">
        <v>1.16882822095839E-2</v>
      </c>
      <c r="D78" s="475">
        <v>1.16348732334789E-2</v>
      </c>
      <c r="E78" s="475" t="str">
        <f t="shared" si="0"/>
        <v>記入</v>
      </c>
      <c r="F78" s="483">
        <f t="shared" si="1"/>
        <v>1.16615777215314E-2</v>
      </c>
      <c r="G78" s="484">
        <f t="shared" si="2"/>
        <v>0.82395715992461616</v>
      </c>
    </row>
    <row r="79" spans="2:7">
      <c r="B79" s="425">
        <v>665</v>
      </c>
      <c r="C79" s="475">
        <v>1.08699088695759E-2</v>
      </c>
      <c r="D79" s="475">
        <v>1.0812229312254999E-2</v>
      </c>
      <c r="E79" s="475" t="str">
        <f t="shared" si="0"/>
        <v>記入</v>
      </c>
      <c r="F79" s="483">
        <f t="shared" si="1"/>
        <v>1.0841069090915451E-2</v>
      </c>
      <c r="G79" s="484">
        <f t="shared" si="2"/>
        <v>0.76598353258877971</v>
      </c>
    </row>
    <row r="80" spans="2:7">
      <c r="B80" s="425">
        <v>670</v>
      </c>
      <c r="C80" s="475">
        <v>1.0021040694461599E-2</v>
      </c>
      <c r="D80" s="475">
        <v>9.9712698484237198E-3</v>
      </c>
      <c r="E80" s="475" t="str">
        <f t="shared" si="0"/>
        <v>記入</v>
      </c>
      <c r="F80" s="483">
        <f t="shared" si="1"/>
        <v>9.9961552714426596E-3</v>
      </c>
      <c r="G80" s="484">
        <f t="shared" si="2"/>
        <v>0.7062855390841376</v>
      </c>
    </row>
    <row r="81" spans="2:7">
      <c r="B81" s="425">
        <v>675</v>
      </c>
      <c r="C81" s="475">
        <v>9.1565819555927495E-3</v>
      </c>
      <c r="D81" s="475">
        <v>9.1087729295617603E-3</v>
      </c>
      <c r="E81" s="475" t="str">
        <f t="shared" si="0"/>
        <v>記入</v>
      </c>
      <c r="F81" s="483">
        <f t="shared" si="1"/>
        <v>9.1326774425772549E-3</v>
      </c>
      <c r="G81" s="484">
        <f t="shared" si="2"/>
        <v>0.64527589214621184</v>
      </c>
    </row>
    <row r="82" spans="2:7">
      <c r="B82" s="425">
        <v>680</v>
      </c>
      <c r="C82" s="475">
        <v>8.2904930562804399E-3</v>
      </c>
      <c r="D82" s="475">
        <v>8.2493903469213307E-3</v>
      </c>
      <c r="E82" s="475" t="str">
        <f t="shared" ref="E82:E112" si="3">$D$5</f>
        <v>記入</v>
      </c>
      <c r="F82" s="483">
        <f t="shared" ref="F82:F112" si="4">AVERAGE(C82:E82)</f>
        <v>8.2699417016008844E-3</v>
      </c>
      <c r="G82" s="484">
        <f t="shared" ref="G82:G111" si="5">F82/$F$15</f>
        <v>0.58431867796173176</v>
      </c>
    </row>
    <row r="83" spans="2:7">
      <c r="B83" s="425">
        <v>685</v>
      </c>
      <c r="C83" s="475">
        <v>7.4425294273842198E-3</v>
      </c>
      <c r="D83" s="475">
        <v>7.4129260564639804E-3</v>
      </c>
      <c r="E83" s="475" t="str">
        <f t="shared" si="3"/>
        <v>記入</v>
      </c>
      <c r="F83" s="483">
        <f t="shared" si="4"/>
        <v>7.4277277419241006E-3</v>
      </c>
      <c r="G83" s="484">
        <f t="shared" si="5"/>
        <v>0.524811444992485</v>
      </c>
    </row>
    <row r="84" spans="2:7">
      <c r="B84" s="425">
        <v>690</v>
      </c>
      <c r="C84" s="475">
        <v>6.64572023370454E-3</v>
      </c>
      <c r="D84" s="475">
        <v>6.61150725929533E-3</v>
      </c>
      <c r="E84" s="475" t="str">
        <f t="shared" si="3"/>
        <v>記入</v>
      </c>
      <c r="F84" s="483">
        <f t="shared" si="4"/>
        <v>6.628613746499935E-3</v>
      </c>
      <c r="G84" s="484">
        <f t="shared" si="5"/>
        <v>0.46834947099131674</v>
      </c>
    </row>
    <row r="85" spans="2:7">
      <c r="B85" s="425">
        <v>695</v>
      </c>
      <c r="C85" s="475">
        <v>5.8936137047452498E-3</v>
      </c>
      <c r="D85" s="475">
        <v>5.8643027310322001E-3</v>
      </c>
      <c r="E85" s="475" t="str">
        <f t="shared" si="3"/>
        <v>記入</v>
      </c>
      <c r="F85" s="483">
        <f t="shared" si="4"/>
        <v>5.8789582178887245E-3</v>
      </c>
      <c r="G85" s="484">
        <f t="shared" si="5"/>
        <v>0.41538202052911932</v>
      </c>
    </row>
    <row r="86" spans="2:7">
      <c r="B86" s="425">
        <v>700</v>
      </c>
      <c r="C86" s="475">
        <v>5.20325150783964E-3</v>
      </c>
      <c r="D86" s="475">
        <v>5.1807822396739102E-3</v>
      </c>
      <c r="E86" s="475" t="str">
        <f t="shared" si="3"/>
        <v>記入</v>
      </c>
      <c r="F86" s="483">
        <f t="shared" si="4"/>
        <v>5.1920168737567751E-3</v>
      </c>
      <c r="G86" s="484">
        <f t="shared" si="5"/>
        <v>0.36684568586998445</v>
      </c>
    </row>
    <row r="87" spans="2:7">
      <c r="B87" s="425">
        <v>705</v>
      </c>
      <c r="C87" s="475">
        <v>4.5829509341011702E-3</v>
      </c>
      <c r="D87" s="475">
        <v>4.5698887904053803E-3</v>
      </c>
      <c r="E87" s="475" t="str">
        <f t="shared" si="3"/>
        <v>記入</v>
      </c>
      <c r="F87" s="483">
        <f t="shared" si="4"/>
        <v>4.5764198622532757E-3</v>
      </c>
      <c r="G87" s="484">
        <f t="shared" si="5"/>
        <v>0.32335023633745791</v>
      </c>
    </row>
    <row r="88" spans="2:7">
      <c r="B88" s="425">
        <v>710</v>
      </c>
      <c r="C88" s="475">
        <v>3.9918507978336003E-3</v>
      </c>
      <c r="D88" s="475">
        <v>3.9766131270421801E-3</v>
      </c>
      <c r="E88" s="475" t="str">
        <f t="shared" si="3"/>
        <v>記入</v>
      </c>
      <c r="F88" s="483">
        <f t="shared" si="4"/>
        <v>3.9842319624378902E-3</v>
      </c>
      <c r="G88" s="484">
        <f t="shared" si="5"/>
        <v>0.28150877442508709</v>
      </c>
    </row>
    <row r="89" spans="2:7">
      <c r="B89" s="425">
        <v>715</v>
      </c>
      <c r="C89" s="475">
        <v>3.4711451304937999E-3</v>
      </c>
      <c r="D89" s="475">
        <v>3.4589579874774101E-3</v>
      </c>
      <c r="E89" s="475" t="str">
        <f t="shared" si="3"/>
        <v>記入</v>
      </c>
      <c r="F89" s="483">
        <f t="shared" si="4"/>
        <v>3.465051558985605E-3</v>
      </c>
      <c r="G89" s="484">
        <f t="shared" si="5"/>
        <v>0.24482570966900152</v>
      </c>
    </row>
    <row r="90" spans="2:7">
      <c r="B90" s="425">
        <v>720</v>
      </c>
      <c r="C90" s="475">
        <v>3.0019242808067802E-3</v>
      </c>
      <c r="D90" s="475">
        <v>3.0007704002039302E-3</v>
      </c>
      <c r="E90" s="475" t="str">
        <f t="shared" si="3"/>
        <v>記入</v>
      </c>
      <c r="F90" s="483">
        <f t="shared" si="4"/>
        <v>3.0013473405053554E-3</v>
      </c>
      <c r="G90" s="484">
        <f t="shared" si="5"/>
        <v>0.212062354655845</v>
      </c>
    </row>
    <row r="91" spans="2:7">
      <c r="B91" s="425">
        <v>725</v>
      </c>
      <c r="C91" s="475">
        <v>2.5991621922349501E-3</v>
      </c>
      <c r="D91" s="475">
        <v>2.5981886573777299E-3</v>
      </c>
      <c r="E91" s="475" t="str">
        <f t="shared" si="3"/>
        <v>記入</v>
      </c>
      <c r="F91" s="483">
        <f t="shared" si="4"/>
        <v>2.5986754248063402E-3</v>
      </c>
      <c r="G91" s="484">
        <f t="shared" si="5"/>
        <v>0.18361128088491144</v>
      </c>
    </row>
    <row r="92" spans="2:7">
      <c r="B92" s="425">
        <v>730</v>
      </c>
      <c r="C92" s="475">
        <v>2.24779291532602E-3</v>
      </c>
      <c r="D92" s="475">
        <v>2.24519075058659E-3</v>
      </c>
      <c r="E92" s="475" t="str">
        <f t="shared" si="3"/>
        <v>記入</v>
      </c>
      <c r="F92" s="483">
        <f t="shared" si="4"/>
        <v>2.2464918329563053E-3</v>
      </c>
      <c r="G92" s="484">
        <f t="shared" si="5"/>
        <v>0.15872749594241414</v>
      </c>
    </row>
    <row r="93" spans="2:7">
      <c r="B93" s="425">
        <v>735</v>
      </c>
      <c r="C93" s="475">
        <v>1.9327922099336499E-3</v>
      </c>
      <c r="D93" s="475">
        <v>1.92830974377333E-3</v>
      </c>
      <c r="E93" s="475" t="str">
        <f t="shared" si="3"/>
        <v>記入</v>
      </c>
      <c r="F93" s="483">
        <f t="shared" si="4"/>
        <v>1.9305509768534901E-3</v>
      </c>
      <c r="G93" s="484">
        <f t="shared" si="5"/>
        <v>0.13640446755681404</v>
      </c>
    </row>
    <row r="94" spans="2:7">
      <c r="B94" s="425">
        <v>740</v>
      </c>
      <c r="C94" s="475">
        <v>1.66398187929919E-3</v>
      </c>
      <c r="D94" s="475">
        <v>1.6603430983205901E-3</v>
      </c>
      <c r="E94" s="475" t="str">
        <f t="shared" si="3"/>
        <v>記入</v>
      </c>
      <c r="F94" s="483">
        <f t="shared" si="4"/>
        <v>1.6621624888098901E-3</v>
      </c>
      <c r="G94" s="484">
        <f t="shared" si="5"/>
        <v>0.11744128593203589</v>
      </c>
    </row>
    <row r="95" spans="2:7">
      <c r="B95" s="425">
        <v>745</v>
      </c>
      <c r="C95" s="475">
        <v>1.4302252859345599E-3</v>
      </c>
      <c r="D95" s="475">
        <v>1.4285766542319E-3</v>
      </c>
      <c r="E95" s="475" t="str">
        <f t="shared" si="3"/>
        <v>記入</v>
      </c>
      <c r="F95" s="483">
        <f t="shared" si="4"/>
        <v>1.4294009700832298E-3</v>
      </c>
      <c r="G95" s="484">
        <f t="shared" si="5"/>
        <v>0.1009953534442169</v>
      </c>
    </row>
    <row r="96" spans="2:7">
      <c r="B96" s="425">
        <v>750</v>
      </c>
      <c r="C96" s="475">
        <v>1.2273653123831901E-3</v>
      </c>
      <c r="D96" s="475">
        <v>1.2224778505447701E-3</v>
      </c>
      <c r="E96" s="475" t="str">
        <f t="shared" si="3"/>
        <v>記入</v>
      </c>
      <c r="F96" s="483">
        <f t="shared" si="4"/>
        <v>1.2249215814639802E-3</v>
      </c>
      <c r="G96" s="484">
        <f t="shared" si="5"/>
        <v>8.6547715197227301E-2</v>
      </c>
    </row>
    <row r="97" spans="2:7">
      <c r="B97" s="425">
        <v>755</v>
      </c>
      <c r="C97" s="475">
        <v>1.0511552533698E-3</v>
      </c>
      <c r="D97" s="475">
        <v>1.04828326931154E-3</v>
      </c>
      <c r="E97" s="475" t="str">
        <f t="shared" si="3"/>
        <v>記入</v>
      </c>
      <c r="F97" s="483">
        <f t="shared" si="4"/>
        <v>1.04971926134067E-3</v>
      </c>
      <c r="G97" s="484">
        <f t="shared" si="5"/>
        <v>7.416866927838324E-2</v>
      </c>
    </row>
    <row r="98" spans="2:7">
      <c r="B98" s="425">
        <v>760</v>
      </c>
      <c r="C98" s="475">
        <v>9.0250543176653101E-4</v>
      </c>
      <c r="D98" s="475">
        <v>8.99314535868902E-4</v>
      </c>
      <c r="E98" s="475" t="str">
        <f t="shared" si="3"/>
        <v>記入</v>
      </c>
      <c r="F98" s="483">
        <f t="shared" si="4"/>
        <v>9.0090998381771651E-4</v>
      </c>
      <c r="G98" s="484">
        <f t="shared" si="5"/>
        <v>6.3654442764087424E-2</v>
      </c>
    </row>
    <row r="99" spans="2:7">
      <c r="B99" s="425">
        <v>765</v>
      </c>
      <c r="C99" s="475">
        <v>7.7422783912269998E-4</v>
      </c>
      <c r="D99" s="475">
        <v>7.7286383279747903E-4</v>
      </c>
      <c r="E99" s="475" t="str">
        <f t="shared" si="3"/>
        <v>記入</v>
      </c>
      <c r="F99" s="483">
        <f t="shared" si="4"/>
        <v>7.735458359600895E-4</v>
      </c>
      <c r="G99" s="484">
        <f t="shared" si="5"/>
        <v>5.4655437307799294E-2</v>
      </c>
    </row>
    <row r="100" spans="2:7">
      <c r="B100" s="425">
        <v>770</v>
      </c>
      <c r="C100" s="475">
        <v>6.6101698666098301E-4</v>
      </c>
      <c r="D100" s="475">
        <v>6.65220047943378E-4</v>
      </c>
      <c r="E100" s="475" t="str">
        <f t="shared" si="3"/>
        <v>記入</v>
      </c>
      <c r="F100" s="483">
        <f t="shared" si="4"/>
        <v>6.6311851730218056E-4</v>
      </c>
      <c r="G100" s="484">
        <f t="shared" si="5"/>
        <v>4.6853115698136966E-2</v>
      </c>
    </row>
    <row r="101" spans="2:7">
      <c r="B101" s="425">
        <v>775</v>
      </c>
      <c r="C101" s="475">
        <v>5.6541679799106896E-4</v>
      </c>
      <c r="D101" s="475">
        <v>5.6780638431875696E-4</v>
      </c>
      <c r="E101" s="475" t="str">
        <f t="shared" si="3"/>
        <v>記入</v>
      </c>
      <c r="F101" s="483">
        <f t="shared" si="4"/>
        <v>5.6661159115491296E-4</v>
      </c>
      <c r="G101" s="484">
        <f t="shared" si="5"/>
        <v>4.0034349431670321E-2</v>
      </c>
    </row>
    <row r="102" spans="2:7">
      <c r="B102" s="425">
        <v>780</v>
      </c>
      <c r="C102" s="475">
        <v>4.7979616263938899E-4</v>
      </c>
      <c r="D102" s="475">
        <v>4.8211788304209301E-4</v>
      </c>
      <c r="E102" s="475" t="str">
        <f t="shared" si="3"/>
        <v>記入</v>
      </c>
      <c r="F102" s="483">
        <f t="shared" si="4"/>
        <v>4.8095702284074097E-4</v>
      </c>
      <c r="G102" s="484">
        <f t="shared" si="5"/>
        <v>3.3982364311989088E-2</v>
      </c>
    </row>
    <row r="103" spans="2:7">
      <c r="B103" s="425">
        <v>785</v>
      </c>
      <c r="C103" s="475">
        <v>4.09464305378744E-4</v>
      </c>
      <c r="D103" s="475">
        <v>4.0922903968049998E-4</v>
      </c>
      <c r="E103" s="475" t="str">
        <f t="shared" si="3"/>
        <v>記入</v>
      </c>
      <c r="F103" s="483">
        <f t="shared" si="4"/>
        <v>4.0934667252962199E-4</v>
      </c>
      <c r="G103" s="484">
        <f t="shared" si="5"/>
        <v>2.8922683514714598E-2</v>
      </c>
    </row>
    <row r="104" spans="2:7">
      <c r="B104" s="425">
        <v>790</v>
      </c>
      <c r="C104" s="475">
        <v>3.4803205731202098E-4</v>
      </c>
      <c r="D104" s="475">
        <v>3.4963352103453297E-4</v>
      </c>
      <c r="E104" s="475" t="str">
        <f t="shared" si="3"/>
        <v>記入</v>
      </c>
      <c r="F104" s="483">
        <f t="shared" si="4"/>
        <v>3.4883278917327695E-4</v>
      </c>
      <c r="G104" s="484">
        <f t="shared" si="5"/>
        <v>2.4647031569760117E-2</v>
      </c>
    </row>
    <row r="105" spans="2:7">
      <c r="B105" s="425">
        <v>795</v>
      </c>
      <c r="C105" s="475">
        <v>2.9791530849694202E-4</v>
      </c>
      <c r="D105" s="475">
        <v>3.0150343414390101E-4</v>
      </c>
      <c r="E105" s="475" t="str">
        <f t="shared" si="3"/>
        <v>記入</v>
      </c>
      <c r="F105" s="483">
        <f t="shared" si="4"/>
        <v>2.9970937132042151E-4</v>
      </c>
      <c r="G105" s="484">
        <f t="shared" si="5"/>
        <v>2.1176181156003778E-2</v>
      </c>
    </row>
    <row r="106" spans="2:7">
      <c r="B106" s="425">
        <v>800</v>
      </c>
      <c r="C106" s="475">
        <v>2.57105720446277E-4</v>
      </c>
      <c r="D106" s="475">
        <v>2.5611737875408001E-4</v>
      </c>
      <c r="E106" s="475" t="str">
        <f t="shared" si="3"/>
        <v>記入</v>
      </c>
      <c r="F106" s="483">
        <f t="shared" si="4"/>
        <v>2.5661154960017853E-4</v>
      </c>
      <c r="G106" s="484">
        <f t="shared" si="5"/>
        <v>1.8131073570090819E-2</v>
      </c>
    </row>
    <row r="107" spans="2:7">
      <c r="B107" s="425">
        <v>805</v>
      </c>
      <c r="C107" s="475">
        <v>2.17666416812068E-4</v>
      </c>
      <c r="D107" s="475">
        <v>2.1790032734475E-4</v>
      </c>
      <c r="E107" s="475" t="str">
        <f t="shared" si="3"/>
        <v>記入</v>
      </c>
      <c r="F107" s="483">
        <f t="shared" si="4"/>
        <v>2.17783372078409E-4</v>
      </c>
      <c r="G107" s="484">
        <f t="shared" si="5"/>
        <v>1.538764076538412E-2</v>
      </c>
    </row>
    <row r="108" spans="2:7">
      <c r="B108" s="425">
        <v>810</v>
      </c>
      <c r="C108" s="475">
        <v>1.88156365853546E-4</v>
      </c>
      <c r="D108" s="475">
        <v>1.8858897311495299E-4</v>
      </c>
      <c r="E108" s="475" t="str">
        <f t="shared" si="3"/>
        <v>記入</v>
      </c>
      <c r="F108" s="483">
        <f t="shared" si="4"/>
        <v>1.883726694842495E-4</v>
      </c>
      <c r="G108" s="484">
        <f t="shared" si="5"/>
        <v>1.3309606423930628E-2</v>
      </c>
    </row>
    <row r="109" spans="2:7">
      <c r="B109" s="425">
        <v>815</v>
      </c>
      <c r="C109" s="475">
        <v>1.6234502013635999E-4</v>
      </c>
      <c r="D109" s="475">
        <v>1.6370482135944701E-4</v>
      </c>
      <c r="E109" s="475" t="str">
        <f t="shared" si="3"/>
        <v>記入</v>
      </c>
      <c r="F109" s="483">
        <f t="shared" si="4"/>
        <v>1.6302492074790349E-4</v>
      </c>
      <c r="G109" s="484">
        <f t="shared" si="5"/>
        <v>1.1518643009030046E-2</v>
      </c>
    </row>
    <row r="110" spans="2:7">
      <c r="B110" s="425">
        <v>820</v>
      </c>
      <c r="C110" s="475">
        <v>1.39911756865617E-4</v>
      </c>
      <c r="D110" s="475">
        <v>1.39479623054858E-4</v>
      </c>
      <c r="E110" s="475" t="str">
        <f t="shared" si="3"/>
        <v>記入</v>
      </c>
      <c r="F110" s="483">
        <f t="shared" si="4"/>
        <v>1.396956899602375E-4</v>
      </c>
      <c r="G110" s="484">
        <f t="shared" si="5"/>
        <v>9.870299431339007E-3</v>
      </c>
    </row>
    <row r="111" spans="2:7">
      <c r="B111" s="425">
        <v>825</v>
      </c>
      <c r="C111" s="475">
        <v>1.20455876918519E-4</v>
      </c>
      <c r="D111" s="475">
        <v>1.2152126774424501E-4</v>
      </c>
      <c r="E111" s="475" t="str">
        <f t="shared" si="3"/>
        <v>記入</v>
      </c>
      <c r="F111" s="483">
        <f t="shared" si="4"/>
        <v>1.2098857233138201E-4</v>
      </c>
      <c r="G111" s="484">
        <f t="shared" si="5"/>
        <v>8.5485345827123888E-3</v>
      </c>
    </row>
    <row r="112" spans="2:7">
      <c r="B112" s="425">
        <v>830</v>
      </c>
      <c r="C112" s="475">
        <v>1.02417708544358E-4</v>
      </c>
      <c r="D112" s="475">
        <v>1.01744299088677E-4</v>
      </c>
      <c r="E112" s="475" t="str">
        <f t="shared" si="3"/>
        <v>記入</v>
      </c>
      <c r="F112" s="483">
        <f t="shared" si="4"/>
        <v>1.020810038165175E-4</v>
      </c>
      <c r="G112" s="484">
        <f>F112/$F$15</f>
        <v>7.2126067325876614E-3</v>
      </c>
    </row>
    <row r="113" spans="3:4">
      <c r="C113" s="345">
        <v>9.35810708950772E-5</v>
      </c>
      <c r="D113" s="345">
        <v>9.0987204252457004E-5</v>
      </c>
    </row>
    <row r="114" spans="3:4">
      <c r="C114" s="345">
        <v>8.0815468927915803E-5</v>
      </c>
      <c r="D114" s="345">
        <v>7.8597405481083395E-5</v>
      </c>
    </row>
    <row r="115" spans="3:4">
      <c r="C115" s="345">
        <v>7.3037075211614903E-5</v>
      </c>
      <c r="D115" s="345">
        <v>6.9888943395963907E-5</v>
      </c>
    </row>
    <row r="116" spans="3:4">
      <c r="C116" s="345">
        <v>6.4234796872823596E-5</v>
      </c>
      <c r="D116" s="345">
        <v>5.7412622280892998E-5</v>
      </c>
    </row>
    <row r="117" spans="3:4">
      <c r="C117" s="345">
        <v>5.3819421198488503E-5</v>
      </c>
      <c r="D117" s="345">
        <v>4.90443559400811E-5</v>
      </c>
    </row>
    <row r="118" spans="3:4">
      <c r="C118" s="345">
        <v>4.4134060721552299E-5</v>
      </c>
      <c r="D118" s="345">
        <v>4.3825457386185697E-5</v>
      </c>
    </row>
    <row r="119" spans="3:4">
      <c r="C119" s="345">
        <v>3.9246057486283803E-5</v>
      </c>
      <c r="D119" s="345">
        <v>4.3102148878838397E-5</v>
      </c>
    </row>
    <row r="120" spans="3:4">
      <c r="C120" s="345">
        <v>3.6674645358501998E-5</v>
      </c>
      <c r="D120" s="345">
        <v>3.8807293997610297E-5</v>
      </c>
    </row>
    <row r="121" spans="3:4">
      <c r="C121" s="345">
        <v>3.4188809977889202E-5</v>
      </c>
      <c r="D121" s="345">
        <v>2.66022402016535E-5</v>
      </c>
    </row>
    <row r="122" spans="3:4">
      <c r="C122" s="345">
        <v>2.8184384285192301E-5</v>
      </c>
      <c r="D122" s="345">
        <v>2.93329840907867E-5</v>
      </c>
    </row>
    <row r="123" spans="3:4">
      <c r="C123" s="345">
        <v>2.49695584981957E-5</v>
      </c>
      <c r="D123" s="345">
        <v>2.5440398221783399E-5</v>
      </c>
    </row>
    <row r="124" spans="3:4">
      <c r="C124" s="345">
        <v>2.4959189553919201E-5</v>
      </c>
      <c r="D124" s="345">
        <v>2.9414385323896302E-5</v>
      </c>
    </row>
    <row r="125" spans="3:4">
      <c r="C125" s="345">
        <v>2.4571714690372502E-5</v>
      </c>
      <c r="D125" s="345">
        <v>2.64158886362069E-5</v>
      </c>
    </row>
    <row r="126" spans="3:4">
      <c r="C126" s="345">
        <v>1.2060037884931399E-5</v>
      </c>
      <c r="D126" s="345">
        <v>2.18019967699241E-5</v>
      </c>
    </row>
    <row r="127" spans="3:4">
      <c r="C127" s="345">
        <v>1.05577585722878E-5</v>
      </c>
      <c r="D127" s="345">
        <v>2.2686215530278299E-5</v>
      </c>
    </row>
    <row r="128" spans="3:4">
      <c r="C128" s="345">
        <v>1.38207470885371E-5</v>
      </c>
      <c r="D128" s="345">
        <v>2.2836431465190198E-5</v>
      </c>
    </row>
    <row r="129" spans="3:4">
      <c r="C129" s="345">
        <v>2.0812787109911699E-5</v>
      </c>
      <c r="D129" s="345">
        <v>2.2214017526575902E-5</v>
      </c>
    </row>
    <row r="130" spans="3:4">
      <c r="C130" s="345">
        <v>1.94694727987098E-5</v>
      </c>
      <c r="D130" s="345">
        <v>9.1803939386270094E-6</v>
      </c>
    </row>
    <row r="131" spans="3:4">
      <c r="C131" s="345">
        <v>2.0003670640207099E-5</v>
      </c>
      <c r="D131" s="345">
        <v>7.5716749943244098E-6</v>
      </c>
    </row>
    <row r="132" spans="3:4">
      <c r="C132" s="345">
        <v>1.5595218891430401E-5</v>
      </c>
      <c r="D132" s="345">
        <v>1.3489026863406901E-5</v>
      </c>
    </row>
    <row r="133" spans="3:4">
      <c r="C133" s="345">
        <v>1.85191481920141E-5</v>
      </c>
      <c r="D133" s="345">
        <v>2.6095188155948399E-5</v>
      </c>
    </row>
    <row r="134" spans="3:4">
      <c r="C134" s="345">
        <v>2.1869357337632601E-5</v>
      </c>
      <c r="D134" s="345">
        <v>7.3785119477260402E-6</v>
      </c>
    </row>
  </sheetData>
  <sheetProtection password="A7EA" sheet="1" objects="1" scenarios="1"/>
  <phoneticPr fontId="7"/>
  <conditionalFormatting sqref="C14 D4:D8 C18:E112">
    <cfRule type="cellIs" dxfId="85" priority="3" stopIfTrue="1" operator="equal">
      <formula>"記入"</formula>
    </cfRule>
  </conditionalFormatting>
  <conditionalFormatting sqref="D3">
    <cfRule type="cellIs" dxfId="84" priority="2" stopIfTrue="1" operator="equal">
      <formula>"記入"</formula>
    </cfRule>
  </conditionalFormatting>
  <conditionalFormatting sqref="D2">
    <cfRule type="cellIs" dxfId="83" priority="1" stopIfTrue="1" operator="equal">
      <formula>"記入"</formula>
    </cfRule>
  </conditionalFormatting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1:AS479"/>
  <sheetViews>
    <sheetView showGridLines="0" topLeftCell="A104" zoomScale="70" zoomScaleNormal="70" workbookViewId="0">
      <selection activeCell="C4" sqref="C4"/>
    </sheetView>
  </sheetViews>
  <sheetFormatPr defaultRowHeight="13.5"/>
  <cols>
    <col min="1" max="16384" width="9" style="345"/>
  </cols>
  <sheetData>
    <row r="1" spans="2:29" ht="14.25" thickBot="1"/>
    <row r="2" spans="2:29" ht="14.25" thickBot="1">
      <c r="B2" s="775"/>
      <c r="C2" s="776"/>
      <c r="D2" s="485" t="s">
        <v>307</v>
      </c>
      <c r="E2" s="486" t="s">
        <v>308</v>
      </c>
      <c r="G2" s="775"/>
      <c r="H2" s="776"/>
      <c r="I2" s="487" t="s">
        <v>307</v>
      </c>
      <c r="J2" s="486" t="s">
        <v>308</v>
      </c>
      <c r="L2" s="775"/>
      <c r="M2" s="776"/>
      <c r="N2" s="485" t="s">
        <v>307</v>
      </c>
      <c r="O2" s="486" t="s">
        <v>308</v>
      </c>
      <c r="Q2" s="775"/>
      <c r="R2" s="776"/>
      <c r="S2" s="487" t="s">
        <v>307</v>
      </c>
      <c r="T2" s="486" t="s">
        <v>308</v>
      </c>
      <c r="V2" s="775"/>
      <c r="W2" s="776"/>
      <c r="X2" s="485" t="s">
        <v>307</v>
      </c>
      <c r="Y2" s="486" t="s">
        <v>308</v>
      </c>
      <c r="AA2" s="488">
        <v>1</v>
      </c>
      <c r="AB2" s="489" t="s">
        <v>490</v>
      </c>
      <c r="AC2" s="490" t="s">
        <v>491</v>
      </c>
    </row>
    <row r="3" spans="2:29" ht="14.25" thickTop="1">
      <c r="B3" s="772" t="s">
        <v>492</v>
      </c>
      <c r="C3" s="491" t="s">
        <v>493</v>
      </c>
      <c r="D3" s="492">
        <v>0.30099999999999999</v>
      </c>
      <c r="E3" s="493">
        <v>0.34200000000000003</v>
      </c>
      <c r="G3" s="773" t="s">
        <v>494</v>
      </c>
      <c r="H3" s="494" t="s">
        <v>493</v>
      </c>
      <c r="I3" s="492">
        <v>0.33100000000000002</v>
      </c>
      <c r="J3" s="493">
        <v>0.373</v>
      </c>
      <c r="L3" s="772" t="s">
        <v>495</v>
      </c>
      <c r="M3" s="491" t="s">
        <v>493</v>
      </c>
      <c r="N3" s="492">
        <v>0.36699999999999999</v>
      </c>
      <c r="O3" s="493">
        <v>0.40200000000000002</v>
      </c>
      <c r="Q3" s="773" t="s">
        <v>496</v>
      </c>
      <c r="R3" s="494" t="s">
        <v>493</v>
      </c>
      <c r="S3" s="495">
        <v>0.40400000000000003</v>
      </c>
      <c r="T3" s="496">
        <v>0.42699999999999999</v>
      </c>
      <c r="V3" s="772" t="s">
        <v>497</v>
      </c>
      <c r="W3" s="491" t="s">
        <v>493</v>
      </c>
      <c r="X3" s="492">
        <v>0.44500000000000001</v>
      </c>
      <c r="Y3" s="493">
        <v>0.44800000000000001</v>
      </c>
      <c r="AA3" s="497" t="s">
        <v>493</v>
      </c>
      <c r="AB3" s="498">
        <v>0.307</v>
      </c>
      <c r="AC3" s="499">
        <v>0.316</v>
      </c>
    </row>
    <row r="4" spans="2:29">
      <c r="B4" s="773"/>
      <c r="C4" s="500" t="s">
        <v>498</v>
      </c>
      <c r="D4" s="495">
        <v>0.31</v>
      </c>
      <c r="E4" s="496">
        <v>0.30199999999999999</v>
      </c>
      <c r="G4" s="773"/>
      <c r="H4" s="500" t="s">
        <v>498</v>
      </c>
      <c r="I4" s="495">
        <v>0.33100000000000002</v>
      </c>
      <c r="J4" s="496">
        <v>0.32200000000000001</v>
      </c>
      <c r="L4" s="773"/>
      <c r="M4" s="500" t="s">
        <v>498</v>
      </c>
      <c r="N4" s="495">
        <v>0.35899999999999999</v>
      </c>
      <c r="O4" s="496">
        <v>0.35199999999999998</v>
      </c>
      <c r="Q4" s="773"/>
      <c r="R4" s="500" t="s">
        <v>498</v>
      </c>
      <c r="S4" s="495">
        <v>0.38600000000000001</v>
      </c>
      <c r="T4" s="496">
        <v>0.37</v>
      </c>
      <c r="V4" s="773"/>
      <c r="W4" s="500" t="s">
        <v>498</v>
      </c>
      <c r="X4" s="495">
        <v>0.41699999999999998</v>
      </c>
      <c r="Y4" s="496">
        <v>0.38600000000000001</v>
      </c>
      <c r="AA4" s="501" t="s">
        <v>498</v>
      </c>
      <c r="AB4" s="502">
        <v>0.3034</v>
      </c>
      <c r="AC4" s="503">
        <v>0.33040000000000003</v>
      </c>
    </row>
    <row r="5" spans="2:29">
      <c r="B5" s="773"/>
      <c r="C5" s="500" t="s">
        <v>499</v>
      </c>
      <c r="D5" s="495">
        <v>0.33100000000000002</v>
      </c>
      <c r="E5" s="496">
        <v>0.32200000000000001</v>
      </c>
      <c r="G5" s="773"/>
      <c r="H5" s="500" t="s">
        <v>499</v>
      </c>
      <c r="I5" s="495">
        <v>0.35699999999999998</v>
      </c>
      <c r="J5" s="496">
        <v>0.34100000000000003</v>
      </c>
      <c r="L5" s="773"/>
      <c r="M5" s="500" t="s">
        <v>499</v>
      </c>
      <c r="N5" s="495">
        <v>0.38600000000000001</v>
      </c>
      <c r="O5" s="496">
        <v>0.37</v>
      </c>
      <c r="Q5" s="773"/>
      <c r="R5" s="500" t="s">
        <v>499</v>
      </c>
      <c r="S5" s="495">
        <v>0.41699999999999998</v>
      </c>
      <c r="T5" s="496">
        <v>0.38600000000000001</v>
      </c>
      <c r="V5" s="773"/>
      <c r="W5" s="500" t="s">
        <v>499</v>
      </c>
      <c r="X5" s="495">
        <v>0.45900000000000002</v>
      </c>
      <c r="Y5" s="496">
        <v>0.39800000000000002</v>
      </c>
      <c r="AA5" s="501" t="s">
        <v>499</v>
      </c>
      <c r="AB5" s="502">
        <v>0.31580000000000003</v>
      </c>
      <c r="AC5" s="503">
        <v>0.34339999999999998</v>
      </c>
    </row>
    <row r="6" spans="2:29" ht="14.25" thickBot="1">
      <c r="B6" s="774"/>
      <c r="C6" s="504" t="s">
        <v>500</v>
      </c>
      <c r="D6" s="505">
        <v>0.33100000000000002</v>
      </c>
      <c r="E6" s="506">
        <v>0.373</v>
      </c>
      <c r="G6" s="774"/>
      <c r="H6" s="504" t="s">
        <v>500</v>
      </c>
      <c r="I6" s="505">
        <v>0.36699999999999999</v>
      </c>
      <c r="J6" s="506">
        <v>0.40200000000000002</v>
      </c>
      <c r="L6" s="774"/>
      <c r="M6" s="504" t="s">
        <v>500</v>
      </c>
      <c r="N6" s="505">
        <v>0.40400000000000003</v>
      </c>
      <c r="O6" s="506">
        <v>0.42699999999999999</v>
      </c>
      <c r="Q6" s="774"/>
      <c r="R6" s="504" t="s">
        <v>500</v>
      </c>
      <c r="S6" s="505">
        <v>0.44500000000000001</v>
      </c>
      <c r="T6" s="506">
        <v>0.44800000000000001</v>
      </c>
      <c r="V6" s="774"/>
      <c r="W6" s="504" t="s">
        <v>500</v>
      </c>
      <c r="X6" s="505">
        <v>0.499</v>
      </c>
      <c r="Y6" s="506">
        <v>0.46600000000000003</v>
      </c>
      <c r="AA6" s="507" t="s">
        <v>500</v>
      </c>
      <c r="AB6" s="508">
        <v>0.317</v>
      </c>
      <c r="AC6" s="509">
        <v>0.33100000000000002</v>
      </c>
    </row>
    <row r="7" spans="2:29" ht="14.25" thickBot="1">
      <c r="B7" s="510"/>
      <c r="C7" s="510"/>
      <c r="D7" s="511">
        <v>0.30099999999999999</v>
      </c>
      <c r="E7" s="511">
        <v>0.34200000000000003</v>
      </c>
      <c r="G7" s="510"/>
      <c r="H7" s="510"/>
      <c r="I7" s="511">
        <v>0.33100000000000002</v>
      </c>
      <c r="J7" s="511">
        <v>0.373</v>
      </c>
      <c r="L7" s="510"/>
      <c r="M7" s="510"/>
      <c r="N7" s="511">
        <v>0.36699999999999999</v>
      </c>
      <c r="O7" s="511">
        <v>0.40200000000000002</v>
      </c>
      <c r="Q7" s="510"/>
      <c r="R7" s="510"/>
      <c r="S7" s="511">
        <v>0.40400000000000003</v>
      </c>
      <c r="T7" s="511">
        <v>0.42699999999999999</v>
      </c>
      <c r="V7" s="510"/>
      <c r="W7" s="510"/>
      <c r="X7" s="511">
        <v>0.44500000000000001</v>
      </c>
      <c r="Y7" s="511">
        <v>0.44800000000000001</v>
      </c>
      <c r="AA7" s="512"/>
      <c r="AB7" s="513">
        <v>0.307</v>
      </c>
      <c r="AC7" s="514">
        <v>0.316</v>
      </c>
    </row>
    <row r="8" spans="2:29" ht="14.25" thickBot="1">
      <c r="B8" s="510"/>
      <c r="C8" s="510"/>
      <c r="D8" s="511"/>
      <c r="E8" s="511"/>
      <c r="G8" s="510"/>
      <c r="H8" s="510"/>
      <c r="I8" s="511"/>
      <c r="J8" s="511"/>
      <c r="L8" s="510"/>
      <c r="M8" s="510"/>
      <c r="N8" s="511"/>
      <c r="O8" s="511"/>
      <c r="Q8" s="510"/>
      <c r="R8" s="510"/>
      <c r="S8" s="511"/>
      <c r="T8" s="511"/>
      <c r="V8" s="510"/>
      <c r="W8" s="510"/>
      <c r="X8" s="511"/>
      <c r="Y8" s="511"/>
      <c r="AA8" s="515">
        <v>2</v>
      </c>
      <c r="AB8" s="489" t="s">
        <v>490</v>
      </c>
      <c r="AC8" s="490" t="s">
        <v>491</v>
      </c>
    </row>
    <row r="9" spans="2:29" ht="14.25" thickBot="1">
      <c r="B9" s="775" t="s">
        <v>501</v>
      </c>
      <c r="C9" s="776"/>
      <c r="D9" s="485" t="s">
        <v>307</v>
      </c>
      <c r="E9" s="486" t="s">
        <v>308</v>
      </c>
      <c r="G9" s="775" t="s">
        <v>501</v>
      </c>
      <c r="H9" s="776"/>
      <c r="I9" s="487" t="s">
        <v>307</v>
      </c>
      <c r="J9" s="486" t="s">
        <v>308</v>
      </c>
      <c r="L9" s="775" t="s">
        <v>501</v>
      </c>
      <c r="M9" s="776"/>
      <c r="N9" s="485" t="s">
        <v>307</v>
      </c>
      <c r="O9" s="486" t="s">
        <v>308</v>
      </c>
      <c r="Q9" s="775" t="s">
        <v>501</v>
      </c>
      <c r="R9" s="776"/>
      <c r="S9" s="487" t="s">
        <v>307</v>
      </c>
      <c r="T9" s="486" t="s">
        <v>308</v>
      </c>
      <c r="V9" s="775" t="s">
        <v>501</v>
      </c>
      <c r="W9" s="776"/>
      <c r="X9" s="485" t="s">
        <v>307</v>
      </c>
      <c r="Y9" s="486" t="s">
        <v>308</v>
      </c>
      <c r="AA9" s="497" t="s">
        <v>493</v>
      </c>
      <c r="AB9" s="498">
        <v>0.317</v>
      </c>
      <c r="AC9" s="499">
        <v>0.33100000000000002</v>
      </c>
    </row>
    <row r="10" spans="2:29" ht="14.25" thickTop="1">
      <c r="B10" s="772" t="s">
        <v>502</v>
      </c>
      <c r="C10" s="491" t="s">
        <v>493</v>
      </c>
      <c r="D10" s="492">
        <v>0.30299999999999999</v>
      </c>
      <c r="E10" s="493">
        <v>0.33300000000000002</v>
      </c>
      <c r="G10" s="773" t="s">
        <v>503</v>
      </c>
      <c r="H10" s="494" t="s">
        <v>493</v>
      </c>
      <c r="I10" s="492">
        <v>0.33100000000000002</v>
      </c>
      <c r="J10" s="493">
        <v>0.35799999999999998</v>
      </c>
      <c r="L10" s="772" t="s">
        <v>504</v>
      </c>
      <c r="M10" s="491" t="s">
        <v>493</v>
      </c>
      <c r="N10" s="492">
        <v>0.36299999999999999</v>
      </c>
      <c r="O10" s="493">
        <v>0.376</v>
      </c>
      <c r="Q10" s="773" t="s">
        <v>505</v>
      </c>
      <c r="R10" s="494" t="s">
        <v>493</v>
      </c>
      <c r="S10" s="492">
        <v>0.39700000000000002</v>
      </c>
      <c r="T10" s="493">
        <v>0.40500000000000003</v>
      </c>
      <c r="V10" s="772" t="s">
        <v>506</v>
      </c>
      <c r="W10" s="491" t="s">
        <v>493</v>
      </c>
      <c r="X10" s="492">
        <v>0.433</v>
      </c>
      <c r="Y10" s="493">
        <v>0.42099999999999999</v>
      </c>
      <c r="AA10" s="501" t="s">
        <v>498</v>
      </c>
      <c r="AB10" s="502">
        <v>0.31580000000000003</v>
      </c>
      <c r="AC10" s="503">
        <v>0.34339999999999998</v>
      </c>
    </row>
    <row r="11" spans="2:29">
      <c r="B11" s="773"/>
      <c r="C11" s="500" t="s">
        <v>498</v>
      </c>
      <c r="D11" s="495">
        <v>0.30099999999999999</v>
      </c>
      <c r="E11" s="496">
        <v>0.34200000000000003</v>
      </c>
      <c r="G11" s="773"/>
      <c r="H11" s="500" t="s">
        <v>498</v>
      </c>
      <c r="I11" s="516">
        <v>0.33100000000000002</v>
      </c>
      <c r="J11" s="517">
        <v>0.373</v>
      </c>
      <c r="L11" s="773"/>
      <c r="M11" s="500" t="s">
        <v>498</v>
      </c>
      <c r="N11" s="495">
        <v>0.36699999999999999</v>
      </c>
      <c r="O11" s="496">
        <v>0.40200000000000002</v>
      </c>
      <c r="Q11" s="773"/>
      <c r="R11" s="500" t="s">
        <v>498</v>
      </c>
      <c r="S11" s="495">
        <v>0.40400000000000003</v>
      </c>
      <c r="T11" s="496">
        <v>0.42699999999999999</v>
      </c>
      <c r="V11" s="773"/>
      <c r="W11" s="500" t="s">
        <v>498</v>
      </c>
      <c r="X11" s="495">
        <v>0.44500000000000001</v>
      </c>
      <c r="Y11" s="496">
        <v>0.44800000000000001</v>
      </c>
      <c r="AA11" s="501" t="s">
        <v>499</v>
      </c>
      <c r="AB11" s="502">
        <v>0.33100000000000002</v>
      </c>
      <c r="AC11" s="503">
        <v>0.35849999999999999</v>
      </c>
    </row>
    <row r="12" spans="2:29" ht="14.25" thickBot="1">
      <c r="B12" s="773"/>
      <c r="C12" s="500" t="s">
        <v>499</v>
      </c>
      <c r="D12" s="495">
        <v>0.314</v>
      </c>
      <c r="E12" s="496">
        <v>0.35599999999999998</v>
      </c>
      <c r="G12" s="773"/>
      <c r="H12" s="500" t="s">
        <v>499</v>
      </c>
      <c r="I12" s="495">
        <v>0.34799999999999998</v>
      </c>
      <c r="J12" s="496">
        <v>0.38700000000000001</v>
      </c>
      <c r="L12" s="773"/>
      <c r="M12" s="500" t="s">
        <v>499</v>
      </c>
      <c r="N12" s="495">
        <v>0.38100000000000001</v>
      </c>
      <c r="O12" s="496">
        <v>0.41150000000000003</v>
      </c>
      <c r="Q12" s="773"/>
      <c r="R12" s="500" t="s">
        <v>499</v>
      </c>
      <c r="S12" s="495">
        <v>0.42199999999999999</v>
      </c>
      <c r="T12" s="496">
        <v>0.436</v>
      </c>
      <c r="V12" s="773"/>
      <c r="W12" s="500" t="s">
        <v>499</v>
      </c>
      <c r="X12" s="495">
        <v>0.46899999999999997</v>
      </c>
      <c r="Y12" s="496">
        <v>0.45600000000000002</v>
      </c>
      <c r="AA12" s="507" t="s">
        <v>500</v>
      </c>
      <c r="AB12" s="508">
        <v>0.33100000000000002</v>
      </c>
      <c r="AC12" s="509">
        <v>0.35299999999999998</v>
      </c>
    </row>
    <row r="13" spans="2:29" ht="14.25" thickBot="1">
      <c r="B13" s="774"/>
      <c r="C13" s="504" t="s">
        <v>500</v>
      </c>
      <c r="D13" s="505">
        <v>0.315</v>
      </c>
      <c r="E13" s="506">
        <v>0.34499999999999997</v>
      </c>
      <c r="G13" s="774"/>
      <c r="H13" s="504" t="s">
        <v>500</v>
      </c>
      <c r="I13" s="505">
        <v>0.34699999999999998</v>
      </c>
      <c r="J13" s="506">
        <v>0.373</v>
      </c>
      <c r="L13" s="774"/>
      <c r="M13" s="504" t="s">
        <v>500</v>
      </c>
      <c r="N13" s="505">
        <v>0.375</v>
      </c>
      <c r="O13" s="506">
        <v>0.38500000000000001</v>
      </c>
      <c r="Q13" s="774"/>
      <c r="R13" s="504" t="s">
        <v>500</v>
      </c>
      <c r="S13" s="505">
        <v>0.41299999999999998</v>
      </c>
      <c r="T13" s="506">
        <v>0.41199999999999998</v>
      </c>
      <c r="V13" s="774"/>
      <c r="W13" s="504" t="s">
        <v>500</v>
      </c>
      <c r="X13" s="505">
        <v>0.45600000000000002</v>
      </c>
      <c r="Y13" s="506">
        <v>0.42899999999999999</v>
      </c>
      <c r="AA13" s="518" t="s">
        <v>507</v>
      </c>
      <c r="AB13" s="513">
        <v>0.317</v>
      </c>
      <c r="AC13" s="519">
        <v>0.33100000000000002</v>
      </c>
    </row>
    <row r="14" spans="2:29" ht="14.25" thickBot="1">
      <c r="B14" s="510"/>
      <c r="C14" s="510"/>
      <c r="D14" s="511">
        <f>D10</f>
        <v>0.30299999999999999</v>
      </c>
      <c r="E14" s="511">
        <f>E10</f>
        <v>0.33300000000000002</v>
      </c>
      <c r="G14" s="510"/>
      <c r="H14" s="510"/>
      <c r="I14" s="511">
        <f>I10</f>
        <v>0.33100000000000002</v>
      </c>
      <c r="J14" s="511">
        <f>J10</f>
        <v>0.35799999999999998</v>
      </c>
      <c r="L14" s="510"/>
      <c r="M14" s="510"/>
      <c r="N14" s="511">
        <f>N10</f>
        <v>0.36299999999999999</v>
      </c>
      <c r="O14" s="511">
        <f>O10</f>
        <v>0.376</v>
      </c>
      <c r="Q14" s="510"/>
      <c r="R14" s="510"/>
      <c r="S14" s="511">
        <f>S10</f>
        <v>0.39700000000000002</v>
      </c>
      <c r="T14" s="511">
        <f>T10</f>
        <v>0.40500000000000003</v>
      </c>
      <c r="V14" s="510"/>
      <c r="W14" s="510"/>
      <c r="X14" s="511">
        <f>X10</f>
        <v>0.433</v>
      </c>
      <c r="Y14" s="511">
        <f>Y10</f>
        <v>0.42099999999999999</v>
      </c>
      <c r="AA14" s="520">
        <v>3</v>
      </c>
      <c r="AB14" s="521" t="s">
        <v>490</v>
      </c>
      <c r="AC14" s="490" t="s">
        <v>491</v>
      </c>
    </row>
    <row r="15" spans="2:29">
      <c r="B15" s="777" t="s">
        <v>508</v>
      </c>
      <c r="C15" s="522" t="s">
        <v>493</v>
      </c>
      <c r="D15" s="523">
        <v>0.315</v>
      </c>
      <c r="E15" s="524">
        <v>0.34499999999999997</v>
      </c>
      <c r="G15" s="777" t="s">
        <v>509</v>
      </c>
      <c r="H15" s="522" t="s">
        <v>493</v>
      </c>
      <c r="I15" s="523">
        <v>0.34699999999999998</v>
      </c>
      <c r="J15" s="524">
        <v>0.373</v>
      </c>
      <c r="L15" s="777" t="s">
        <v>510</v>
      </c>
      <c r="M15" s="522" t="s">
        <v>493</v>
      </c>
      <c r="N15" s="523">
        <v>0.375</v>
      </c>
      <c r="O15" s="524">
        <v>0.38500000000000001</v>
      </c>
      <c r="Q15" s="777" t="s">
        <v>511</v>
      </c>
      <c r="R15" s="522" t="s">
        <v>493</v>
      </c>
      <c r="S15" s="523">
        <v>0.41299999999999998</v>
      </c>
      <c r="T15" s="524">
        <v>0.41199999999999998</v>
      </c>
      <c r="V15" s="777" t="s">
        <v>512</v>
      </c>
      <c r="W15" s="522" t="s">
        <v>493</v>
      </c>
      <c r="X15" s="523">
        <v>0.45600000000000002</v>
      </c>
      <c r="Y15" s="524">
        <v>0.42899999999999999</v>
      </c>
      <c r="AA15" s="497" t="s">
        <v>493</v>
      </c>
      <c r="AB15" s="498">
        <v>0.31740000000000002</v>
      </c>
      <c r="AC15" s="499">
        <v>0.32700000000000001</v>
      </c>
    </row>
    <row r="16" spans="2:29">
      <c r="B16" s="773"/>
      <c r="C16" s="500" t="s">
        <v>498</v>
      </c>
      <c r="D16" s="495">
        <v>0.314</v>
      </c>
      <c r="E16" s="496">
        <v>0.35599999999999998</v>
      </c>
      <c r="G16" s="773"/>
      <c r="H16" s="500" t="s">
        <v>498</v>
      </c>
      <c r="I16" s="495">
        <v>0.34799999999999998</v>
      </c>
      <c r="J16" s="496">
        <v>0.38700000000000001</v>
      </c>
      <c r="L16" s="773"/>
      <c r="M16" s="500" t="s">
        <v>498</v>
      </c>
      <c r="N16" s="495">
        <v>0.38100000000000001</v>
      </c>
      <c r="O16" s="496">
        <v>0.4113</v>
      </c>
      <c r="Q16" s="773"/>
      <c r="R16" s="500" t="s">
        <v>498</v>
      </c>
      <c r="S16" s="495">
        <v>0.42199999999999999</v>
      </c>
      <c r="T16" s="496">
        <v>0.436</v>
      </c>
      <c r="V16" s="773"/>
      <c r="W16" s="500" t="s">
        <v>498</v>
      </c>
      <c r="X16" s="495">
        <v>0.46899999999999997</v>
      </c>
      <c r="Y16" s="496">
        <v>0.45600000000000002</v>
      </c>
      <c r="AA16" s="501" t="s">
        <v>498</v>
      </c>
      <c r="AB16" s="502">
        <v>0.317</v>
      </c>
      <c r="AC16" s="503">
        <v>0.33100000000000002</v>
      </c>
    </row>
    <row r="17" spans="2:29">
      <c r="B17" s="773"/>
      <c r="C17" s="500" t="s">
        <v>499</v>
      </c>
      <c r="D17" s="495">
        <v>0.33100000000000002</v>
      </c>
      <c r="E17" s="496">
        <v>0.373</v>
      </c>
      <c r="G17" s="773"/>
      <c r="H17" s="500" t="s">
        <v>499</v>
      </c>
      <c r="I17" s="516">
        <v>0.36699999999999999</v>
      </c>
      <c r="J17" s="517">
        <v>0.40200000000000002</v>
      </c>
      <c r="L17" s="773"/>
      <c r="M17" s="500" t="s">
        <v>499</v>
      </c>
      <c r="N17" s="495">
        <v>0.40400000000000003</v>
      </c>
      <c r="O17" s="496">
        <v>0.42699999999999999</v>
      </c>
      <c r="Q17" s="773"/>
      <c r="R17" s="500" t="s">
        <v>499</v>
      </c>
      <c r="S17" s="495">
        <v>0.44500000000000001</v>
      </c>
      <c r="T17" s="496">
        <v>0.44800000000000001</v>
      </c>
      <c r="V17" s="773"/>
      <c r="W17" s="500" t="s">
        <v>499</v>
      </c>
      <c r="X17" s="495">
        <v>0.499</v>
      </c>
      <c r="Y17" s="496">
        <v>0.46600000000000003</v>
      </c>
      <c r="AA17" s="501" t="s">
        <v>499</v>
      </c>
      <c r="AB17" s="502">
        <v>0.33100000000000002</v>
      </c>
      <c r="AC17" s="503">
        <v>0.35299999999999998</v>
      </c>
    </row>
    <row r="18" spans="2:29" ht="14.25" thickBot="1">
      <c r="B18" s="774"/>
      <c r="C18" s="504" t="s">
        <v>500</v>
      </c>
      <c r="D18" s="505">
        <v>0.33100000000000002</v>
      </c>
      <c r="E18" s="506">
        <v>0.36</v>
      </c>
      <c r="G18" s="774"/>
      <c r="H18" s="504" t="s">
        <v>500</v>
      </c>
      <c r="I18" s="505">
        <v>0.36472000000000004</v>
      </c>
      <c r="J18" s="506">
        <v>0.38800000000000001</v>
      </c>
      <c r="L18" s="774"/>
      <c r="M18" s="504" t="s">
        <v>500</v>
      </c>
      <c r="N18" s="505">
        <v>0.39453000000000005</v>
      </c>
      <c r="O18" s="506">
        <v>0.39700000000000002</v>
      </c>
      <c r="Q18" s="774"/>
      <c r="R18" s="504" t="s">
        <v>500</v>
      </c>
      <c r="S18" s="505">
        <v>0.433</v>
      </c>
      <c r="T18" s="506">
        <v>0.42099999999999999</v>
      </c>
      <c r="V18" s="774"/>
      <c r="W18" s="504" t="s">
        <v>500</v>
      </c>
      <c r="X18" s="505">
        <v>0.48099999999999998</v>
      </c>
      <c r="Y18" s="506">
        <v>0.435</v>
      </c>
      <c r="AA18" s="507" t="s">
        <v>500</v>
      </c>
      <c r="AB18" s="508">
        <v>0.33100000000000002</v>
      </c>
      <c r="AC18" s="509">
        <v>0.34</v>
      </c>
    </row>
    <row r="19" spans="2:29" ht="14.25" thickBot="1">
      <c r="B19" s="510"/>
      <c r="C19" s="510"/>
      <c r="D19" s="511">
        <f>D15</f>
        <v>0.315</v>
      </c>
      <c r="E19" s="511">
        <f>E15</f>
        <v>0.34499999999999997</v>
      </c>
      <c r="G19" s="510"/>
      <c r="H19" s="510"/>
      <c r="I19" s="511">
        <f>I15</f>
        <v>0.34699999999999998</v>
      </c>
      <c r="J19" s="511">
        <f>J15</f>
        <v>0.373</v>
      </c>
      <c r="L19" s="510"/>
      <c r="M19" s="510"/>
      <c r="N19" s="511">
        <f>N15</f>
        <v>0.375</v>
      </c>
      <c r="O19" s="511">
        <f>O15</f>
        <v>0.38500000000000001</v>
      </c>
      <c r="Q19" s="510"/>
      <c r="R19" s="510"/>
      <c r="S19" s="511">
        <f>S15</f>
        <v>0.41299999999999998</v>
      </c>
      <c r="T19" s="511">
        <f>T15</f>
        <v>0.41199999999999998</v>
      </c>
      <c r="V19" s="510"/>
      <c r="W19" s="510"/>
      <c r="X19" s="511">
        <f>X15</f>
        <v>0.45600000000000002</v>
      </c>
      <c r="Y19" s="511">
        <f>Y15</f>
        <v>0.42899999999999999</v>
      </c>
      <c r="AA19" s="525"/>
      <c r="AB19" s="513">
        <v>0.31740000000000002</v>
      </c>
      <c r="AC19" s="514">
        <v>0.32700000000000001</v>
      </c>
    </row>
    <row r="20" spans="2:29" ht="14.25" thickBot="1">
      <c r="B20" s="777" t="s">
        <v>513</v>
      </c>
      <c r="C20" s="522" t="s">
        <v>493</v>
      </c>
      <c r="D20" s="523">
        <v>0.307</v>
      </c>
      <c r="E20" s="524">
        <v>0.316</v>
      </c>
      <c r="G20" s="777" t="s">
        <v>514</v>
      </c>
      <c r="H20" s="522" t="s">
        <v>493</v>
      </c>
      <c r="I20" s="523">
        <v>0.33100000000000002</v>
      </c>
      <c r="J20" s="524">
        <v>0.33800000000000002</v>
      </c>
      <c r="L20" s="777" t="s">
        <v>515</v>
      </c>
      <c r="M20" s="522" t="s">
        <v>493</v>
      </c>
      <c r="N20" s="523">
        <v>0.35899999999999999</v>
      </c>
      <c r="O20" s="524">
        <v>0.35199999999999998</v>
      </c>
      <c r="Q20" s="777" t="s">
        <v>516</v>
      </c>
      <c r="R20" s="522" t="s">
        <v>493</v>
      </c>
      <c r="S20" s="523">
        <v>0.39</v>
      </c>
      <c r="T20" s="524">
        <v>0.38300000000000001</v>
      </c>
      <c r="V20" s="777" t="s">
        <v>517</v>
      </c>
      <c r="W20" s="522" t="s">
        <v>493</v>
      </c>
      <c r="X20" s="523">
        <v>0.41699999999999998</v>
      </c>
      <c r="Y20" s="524">
        <v>0.38600000000000001</v>
      </c>
      <c r="AA20" s="526">
        <v>4</v>
      </c>
      <c r="AB20" s="489" t="s">
        <v>490</v>
      </c>
      <c r="AC20" s="527" t="s">
        <v>491</v>
      </c>
    </row>
    <row r="21" spans="2:29">
      <c r="B21" s="773"/>
      <c r="C21" s="500" t="s">
        <v>498</v>
      </c>
      <c r="D21" s="495">
        <v>0.30299999999999999</v>
      </c>
      <c r="E21" s="496">
        <v>0.33300000000000002</v>
      </c>
      <c r="G21" s="773"/>
      <c r="H21" s="500" t="s">
        <v>498</v>
      </c>
      <c r="I21" s="495">
        <v>0.33100000000000002</v>
      </c>
      <c r="J21" s="496">
        <v>0.35799999999999998</v>
      </c>
      <c r="L21" s="773"/>
      <c r="M21" s="500" t="s">
        <v>498</v>
      </c>
      <c r="N21" s="495">
        <v>0.36299999999999999</v>
      </c>
      <c r="O21" s="496">
        <v>0.376</v>
      </c>
      <c r="Q21" s="773"/>
      <c r="R21" s="500" t="s">
        <v>498</v>
      </c>
      <c r="S21" s="495">
        <v>0.39700000000000002</v>
      </c>
      <c r="T21" s="496">
        <v>0.40500000000000003</v>
      </c>
      <c r="V21" s="773"/>
      <c r="W21" s="500" t="s">
        <v>498</v>
      </c>
      <c r="X21" s="495">
        <v>0.433</v>
      </c>
      <c r="Y21" s="496">
        <v>0.42099999999999999</v>
      </c>
      <c r="AA21" s="497" t="s">
        <v>493</v>
      </c>
      <c r="AB21" s="498">
        <v>0.31</v>
      </c>
      <c r="AC21" s="499">
        <v>0.30199999999999999</v>
      </c>
    </row>
    <row r="22" spans="2:29">
      <c r="B22" s="773"/>
      <c r="C22" s="500" t="s">
        <v>499</v>
      </c>
      <c r="D22" s="495">
        <v>0.315</v>
      </c>
      <c r="E22" s="496">
        <v>0.34499999999999997</v>
      </c>
      <c r="G22" s="773"/>
      <c r="H22" s="500" t="s">
        <v>499</v>
      </c>
      <c r="I22" s="495">
        <v>0.34699999999999998</v>
      </c>
      <c r="J22" s="496">
        <v>0.373</v>
      </c>
      <c r="L22" s="773"/>
      <c r="M22" s="500" t="s">
        <v>499</v>
      </c>
      <c r="N22" s="495">
        <v>0.375</v>
      </c>
      <c r="O22" s="496">
        <v>0.38500000000000001</v>
      </c>
      <c r="Q22" s="773"/>
      <c r="R22" s="500" t="s">
        <v>499</v>
      </c>
      <c r="S22" s="495">
        <v>0.41299999999999998</v>
      </c>
      <c r="T22" s="496">
        <v>0.41199999999999998</v>
      </c>
      <c r="V22" s="773"/>
      <c r="W22" s="500" t="s">
        <v>499</v>
      </c>
      <c r="X22" s="495">
        <v>0.45600000000000002</v>
      </c>
      <c r="Y22" s="496">
        <v>0.42899999999999999</v>
      </c>
      <c r="AA22" s="501" t="s">
        <v>498</v>
      </c>
      <c r="AB22" s="502">
        <v>0.307</v>
      </c>
      <c r="AC22" s="503">
        <v>0.316</v>
      </c>
    </row>
    <row r="23" spans="2:29">
      <c r="B23" s="774"/>
      <c r="C23" s="504" t="s">
        <v>500</v>
      </c>
      <c r="D23" s="505">
        <v>0.317</v>
      </c>
      <c r="E23" s="506">
        <v>0.32700000000000001</v>
      </c>
      <c r="G23" s="774"/>
      <c r="H23" s="504" t="s">
        <v>500</v>
      </c>
      <c r="I23" s="505">
        <v>0.34499999999999997</v>
      </c>
      <c r="J23" s="506">
        <v>0.35</v>
      </c>
      <c r="L23" s="774"/>
      <c r="M23" s="504" t="s">
        <v>500</v>
      </c>
      <c r="N23" s="505">
        <v>0.37</v>
      </c>
      <c r="O23" s="506">
        <v>0.35980000000000001</v>
      </c>
      <c r="Q23" s="774"/>
      <c r="R23" s="504" t="s">
        <v>500</v>
      </c>
      <c r="S23" s="505">
        <v>0.40500000000000003</v>
      </c>
      <c r="T23" s="506">
        <v>0.39</v>
      </c>
      <c r="V23" s="774"/>
      <c r="W23" s="504" t="s">
        <v>500</v>
      </c>
      <c r="X23" s="505">
        <v>0.437</v>
      </c>
      <c r="Y23" s="506">
        <v>0.39200000000000002</v>
      </c>
      <c r="AA23" s="501" t="s">
        <v>499</v>
      </c>
      <c r="AB23" s="502">
        <v>0.317</v>
      </c>
      <c r="AC23" s="503">
        <v>0.33100000000000002</v>
      </c>
    </row>
    <row r="24" spans="2:29" ht="14.25" thickBot="1">
      <c r="B24" s="510"/>
      <c r="C24" s="510"/>
      <c r="D24" s="511">
        <f>D20</f>
        <v>0.307</v>
      </c>
      <c r="E24" s="511">
        <f>E20</f>
        <v>0.316</v>
      </c>
      <c r="G24" s="510"/>
      <c r="H24" s="510"/>
      <c r="I24" s="511">
        <f>I20</f>
        <v>0.33100000000000002</v>
      </c>
      <c r="J24" s="511">
        <f>J20</f>
        <v>0.33800000000000002</v>
      </c>
      <c r="L24" s="510"/>
      <c r="M24" s="510"/>
      <c r="N24" s="511">
        <f>N20</f>
        <v>0.35899999999999999</v>
      </c>
      <c r="O24" s="511">
        <f>O20</f>
        <v>0.35199999999999998</v>
      </c>
      <c r="Q24" s="510"/>
      <c r="R24" s="510"/>
      <c r="S24" s="511">
        <f>S20</f>
        <v>0.39</v>
      </c>
      <c r="T24" s="511">
        <f>T20</f>
        <v>0.38300000000000001</v>
      </c>
      <c r="V24" s="510"/>
      <c r="W24" s="510"/>
      <c r="X24" s="511">
        <f>X20</f>
        <v>0.41699999999999998</v>
      </c>
      <c r="Y24" s="511">
        <f>Y20</f>
        <v>0.38600000000000001</v>
      </c>
      <c r="AA24" s="507" t="s">
        <v>500</v>
      </c>
      <c r="AB24" s="508">
        <v>0.31900000000000001</v>
      </c>
      <c r="AC24" s="509">
        <v>0.311</v>
      </c>
    </row>
    <row r="25" spans="2:29" ht="14.25" thickBot="1">
      <c r="B25" s="777" t="s">
        <v>518</v>
      </c>
      <c r="C25" s="522" t="s">
        <v>493</v>
      </c>
      <c r="D25" s="523">
        <v>0.317</v>
      </c>
      <c r="E25" s="524">
        <v>0.32700000000000001</v>
      </c>
      <c r="G25" s="777" t="s">
        <v>519</v>
      </c>
      <c r="H25" s="522" t="s">
        <v>493</v>
      </c>
      <c r="I25" s="523">
        <v>0.34499999999999997</v>
      </c>
      <c r="J25" s="524">
        <v>0.35</v>
      </c>
      <c r="L25" s="777" t="s">
        <v>520</v>
      </c>
      <c r="M25" s="522" t="s">
        <v>493</v>
      </c>
      <c r="N25" s="523">
        <v>0.37</v>
      </c>
      <c r="O25" s="524">
        <v>0.36</v>
      </c>
      <c r="Q25" s="777" t="s">
        <v>521</v>
      </c>
      <c r="R25" s="522" t="s">
        <v>493</v>
      </c>
      <c r="S25" s="523">
        <v>0.40500000000000003</v>
      </c>
      <c r="T25" s="524">
        <v>0.39</v>
      </c>
      <c r="V25" s="777" t="s">
        <v>522</v>
      </c>
      <c r="W25" s="522" t="s">
        <v>493</v>
      </c>
      <c r="X25" s="523">
        <v>0.437</v>
      </c>
      <c r="Y25" s="524">
        <v>0.39200000000000002</v>
      </c>
      <c r="AA25" s="512"/>
      <c r="AB25" s="513">
        <v>0.31</v>
      </c>
      <c r="AC25" s="514">
        <v>0.30199999999999999</v>
      </c>
    </row>
    <row r="26" spans="2:29" ht="14.25" thickBot="1">
      <c r="B26" s="773"/>
      <c r="C26" s="500" t="s">
        <v>498</v>
      </c>
      <c r="D26" s="495">
        <v>0.315</v>
      </c>
      <c r="E26" s="496">
        <v>0.34499999999999997</v>
      </c>
      <c r="G26" s="773"/>
      <c r="H26" s="500" t="s">
        <v>498</v>
      </c>
      <c r="I26" s="495">
        <v>0.34699999999999998</v>
      </c>
      <c r="J26" s="496">
        <v>0.373</v>
      </c>
      <c r="L26" s="773"/>
      <c r="M26" s="500" t="s">
        <v>498</v>
      </c>
      <c r="N26" s="495">
        <v>0.375</v>
      </c>
      <c r="O26" s="496">
        <v>0.38500000000000001</v>
      </c>
      <c r="Q26" s="773"/>
      <c r="R26" s="500" t="s">
        <v>498</v>
      </c>
      <c r="S26" s="495">
        <v>0.41299999999999998</v>
      </c>
      <c r="T26" s="496">
        <v>0.41199999999999998</v>
      </c>
      <c r="V26" s="773"/>
      <c r="W26" s="500" t="s">
        <v>498</v>
      </c>
      <c r="X26" s="495">
        <v>0.45600000000000002</v>
      </c>
      <c r="Y26" s="496">
        <v>0.42899999999999999</v>
      </c>
      <c r="AA26" s="528">
        <v>5</v>
      </c>
      <c r="AB26" s="521" t="s">
        <v>307</v>
      </c>
      <c r="AC26" s="490" t="s">
        <v>308</v>
      </c>
    </row>
    <row r="27" spans="2:29">
      <c r="B27" s="773"/>
      <c r="C27" s="500" t="s">
        <v>499</v>
      </c>
      <c r="D27" s="495">
        <v>0.33100000000000002</v>
      </c>
      <c r="E27" s="496">
        <v>0.36</v>
      </c>
      <c r="G27" s="773"/>
      <c r="H27" s="500" t="s">
        <v>499</v>
      </c>
      <c r="I27" s="495">
        <v>0.36472000000000004</v>
      </c>
      <c r="J27" s="496">
        <v>0.38800000000000001</v>
      </c>
      <c r="L27" s="773"/>
      <c r="M27" s="500" t="s">
        <v>499</v>
      </c>
      <c r="N27" s="495">
        <v>0.39452000000000004</v>
      </c>
      <c r="O27" s="496">
        <v>0.39720000000000005</v>
      </c>
      <c r="Q27" s="773"/>
      <c r="R27" s="500" t="s">
        <v>499</v>
      </c>
      <c r="S27" s="495">
        <v>0.433</v>
      </c>
      <c r="T27" s="496">
        <v>0.42099999999999999</v>
      </c>
      <c r="V27" s="773"/>
      <c r="W27" s="500" t="s">
        <v>499</v>
      </c>
      <c r="X27" s="495">
        <v>0.48099999999999998</v>
      </c>
      <c r="Y27" s="496">
        <v>0.435</v>
      </c>
      <c r="AA27" s="497" t="s">
        <v>493</v>
      </c>
      <c r="AB27" s="498">
        <v>0.31900000000000001</v>
      </c>
      <c r="AC27" s="499">
        <v>0.311</v>
      </c>
    </row>
    <row r="28" spans="2:29">
      <c r="B28" s="774"/>
      <c r="C28" s="504" t="s">
        <v>500</v>
      </c>
      <c r="D28" s="505">
        <v>0.33100000000000002</v>
      </c>
      <c r="E28" s="506">
        <v>0.34</v>
      </c>
      <c r="G28" s="774"/>
      <c r="H28" s="504" t="s">
        <v>500</v>
      </c>
      <c r="I28" s="505">
        <v>0.36050000000000004</v>
      </c>
      <c r="J28" s="506">
        <v>0.36299999999999999</v>
      </c>
      <c r="L28" s="774"/>
      <c r="M28" s="504" t="s">
        <v>500</v>
      </c>
      <c r="N28" s="505">
        <v>0.38600000000000001</v>
      </c>
      <c r="O28" s="506">
        <v>0.37</v>
      </c>
      <c r="Q28" s="774"/>
      <c r="R28" s="504" t="s">
        <v>500</v>
      </c>
      <c r="S28" s="505">
        <v>0.42299999999999999</v>
      </c>
      <c r="T28" s="506">
        <v>0.39900000000000002</v>
      </c>
      <c r="V28" s="774"/>
      <c r="W28" s="504" t="s">
        <v>500</v>
      </c>
      <c r="X28" s="505">
        <v>0.45900000000000002</v>
      </c>
      <c r="Y28" s="506">
        <v>0.39800000000000002</v>
      </c>
      <c r="AA28" s="501" t="s">
        <v>498</v>
      </c>
      <c r="AB28" s="502">
        <v>0.31740000000000002</v>
      </c>
      <c r="AC28" s="503">
        <v>0.32700000000000001</v>
      </c>
    </row>
    <row r="29" spans="2:29">
      <c r="B29" s="510"/>
      <c r="C29" s="510"/>
      <c r="D29" s="511">
        <f>D25</f>
        <v>0.317</v>
      </c>
      <c r="E29" s="511">
        <f>E25</f>
        <v>0.32700000000000001</v>
      </c>
      <c r="G29" s="510"/>
      <c r="H29" s="510"/>
      <c r="I29" s="511">
        <f>I25</f>
        <v>0.34499999999999997</v>
      </c>
      <c r="J29" s="511">
        <f>J25</f>
        <v>0.35</v>
      </c>
      <c r="L29" s="510"/>
      <c r="M29" s="510"/>
      <c r="N29" s="511">
        <f>N25</f>
        <v>0.37</v>
      </c>
      <c r="O29" s="511">
        <f>O25</f>
        <v>0.36</v>
      </c>
      <c r="Q29" s="510"/>
      <c r="R29" s="510"/>
      <c r="S29" s="511">
        <f>S25</f>
        <v>0.40500000000000003</v>
      </c>
      <c r="T29" s="511">
        <f>T25</f>
        <v>0.39</v>
      </c>
      <c r="V29" s="510"/>
      <c r="W29" s="510"/>
      <c r="X29" s="511">
        <f>X25</f>
        <v>0.437</v>
      </c>
      <c r="Y29" s="511">
        <f>Y25</f>
        <v>0.39200000000000002</v>
      </c>
      <c r="AA29" s="501" t="s">
        <v>499</v>
      </c>
      <c r="AB29" s="502">
        <v>0.33100000000000002</v>
      </c>
      <c r="AC29" s="503">
        <v>0.34</v>
      </c>
    </row>
    <row r="30" spans="2:29" ht="14.25" thickBot="1">
      <c r="B30" s="777" t="s">
        <v>523</v>
      </c>
      <c r="C30" s="522" t="s">
        <v>493</v>
      </c>
      <c r="D30" s="523">
        <v>0.31</v>
      </c>
      <c r="E30" s="524">
        <v>0.30199999999999999</v>
      </c>
      <c r="G30" s="777" t="s">
        <v>524</v>
      </c>
      <c r="H30" s="522" t="s">
        <v>493</v>
      </c>
      <c r="I30" s="529">
        <v>0.33100000000000002</v>
      </c>
      <c r="J30" s="530">
        <v>0.32200000000000001</v>
      </c>
      <c r="Q30" s="777" t="s">
        <v>525</v>
      </c>
      <c r="R30" s="522" t="s">
        <v>493</v>
      </c>
      <c r="S30" s="523">
        <v>0.38600000000000001</v>
      </c>
      <c r="T30" s="524">
        <v>0.37</v>
      </c>
      <c r="AA30" s="507" t="s">
        <v>500</v>
      </c>
      <c r="AB30" s="508">
        <v>0.33100000000000002</v>
      </c>
      <c r="AC30" s="509">
        <v>0.32200000000000001</v>
      </c>
    </row>
    <row r="31" spans="2:29">
      <c r="B31" s="773"/>
      <c r="C31" s="500" t="s">
        <v>498</v>
      </c>
      <c r="D31" s="495">
        <v>0.307</v>
      </c>
      <c r="E31" s="496">
        <v>0.316</v>
      </c>
      <c r="G31" s="773"/>
      <c r="H31" s="500" t="s">
        <v>498</v>
      </c>
      <c r="I31" s="495">
        <v>0.33100000000000002</v>
      </c>
      <c r="J31" s="496">
        <v>0.33800000000000002</v>
      </c>
      <c r="Q31" s="773"/>
      <c r="R31" s="500" t="s">
        <v>498</v>
      </c>
      <c r="S31" s="495">
        <v>0.39</v>
      </c>
      <c r="T31" s="496">
        <v>0.38300000000000001</v>
      </c>
      <c r="AA31" s="512"/>
      <c r="AB31" s="513">
        <v>0.31900000000000001</v>
      </c>
      <c r="AC31" s="514">
        <v>0.311</v>
      </c>
    </row>
    <row r="32" spans="2:29">
      <c r="B32" s="773"/>
      <c r="C32" s="500" t="s">
        <v>499</v>
      </c>
      <c r="D32" s="495">
        <v>0.317</v>
      </c>
      <c r="E32" s="496">
        <v>0.32700000000000001</v>
      </c>
      <c r="G32" s="773"/>
      <c r="H32" s="500" t="s">
        <v>499</v>
      </c>
      <c r="I32" s="495">
        <v>0.34499999999999997</v>
      </c>
      <c r="J32" s="496">
        <v>0.35010000000000002</v>
      </c>
      <c r="Q32" s="773"/>
      <c r="R32" s="500" t="s">
        <v>499</v>
      </c>
      <c r="S32" s="495">
        <v>0.40500000000000003</v>
      </c>
      <c r="T32" s="496">
        <v>0.39</v>
      </c>
    </row>
    <row r="33" spans="2:20">
      <c r="B33" s="774"/>
      <c r="C33" s="504" t="s">
        <v>500</v>
      </c>
      <c r="D33" s="505">
        <v>0.31900000000000001</v>
      </c>
      <c r="E33" s="506">
        <v>0.311</v>
      </c>
      <c r="G33" s="774"/>
      <c r="H33" s="504" t="s">
        <v>500</v>
      </c>
      <c r="I33" s="505">
        <v>0.34300000000000003</v>
      </c>
      <c r="J33" s="506">
        <v>0.33100000000000002</v>
      </c>
      <c r="Q33" s="774"/>
      <c r="R33" s="504" t="s">
        <v>500</v>
      </c>
      <c r="S33" s="505">
        <v>0.4</v>
      </c>
      <c r="T33" s="506">
        <v>0.377</v>
      </c>
    </row>
    <row r="34" spans="2:20">
      <c r="B34" s="510"/>
      <c r="C34" s="510"/>
      <c r="D34" s="511">
        <f>D30</f>
        <v>0.31</v>
      </c>
      <c r="E34" s="511">
        <f>E30</f>
        <v>0.30199999999999999</v>
      </c>
      <c r="G34" s="510"/>
      <c r="H34" s="510"/>
      <c r="I34" s="511">
        <f>I30</f>
        <v>0.33100000000000002</v>
      </c>
      <c r="J34" s="511">
        <f>J30</f>
        <v>0.32200000000000001</v>
      </c>
      <c r="Q34" s="510"/>
      <c r="R34" s="510"/>
      <c r="S34" s="511">
        <f>S30</f>
        <v>0.38600000000000001</v>
      </c>
      <c r="T34" s="511">
        <f>T30</f>
        <v>0.37</v>
      </c>
    </row>
    <row r="35" spans="2:20">
      <c r="B35" s="777" t="s">
        <v>526</v>
      </c>
      <c r="C35" s="522" t="s">
        <v>493</v>
      </c>
      <c r="D35" s="523">
        <v>0.33100000000000002</v>
      </c>
      <c r="E35" s="524">
        <v>0.34</v>
      </c>
      <c r="G35" s="777" t="s">
        <v>527</v>
      </c>
      <c r="H35" s="522" t="s">
        <v>493</v>
      </c>
      <c r="I35" s="523">
        <v>0.34300000000000003</v>
      </c>
      <c r="J35" s="524">
        <v>0.33100000000000002</v>
      </c>
      <c r="Q35" s="777" t="s">
        <v>528</v>
      </c>
      <c r="R35" s="522" t="s">
        <v>493</v>
      </c>
      <c r="S35" s="523">
        <v>0.4</v>
      </c>
      <c r="T35" s="524">
        <v>0.377</v>
      </c>
    </row>
    <row r="36" spans="2:20">
      <c r="B36" s="773"/>
      <c r="C36" s="500" t="s">
        <v>498</v>
      </c>
      <c r="D36" s="495">
        <v>0.317</v>
      </c>
      <c r="E36" s="496">
        <v>0.32700000000000001</v>
      </c>
      <c r="G36" s="773"/>
      <c r="H36" s="500" t="s">
        <v>498</v>
      </c>
      <c r="I36" s="495">
        <v>0.34499999999999997</v>
      </c>
      <c r="J36" s="496">
        <v>0.35020000000000001</v>
      </c>
      <c r="Q36" s="773"/>
      <c r="R36" s="500" t="s">
        <v>498</v>
      </c>
      <c r="S36" s="495">
        <v>0.40500000000000003</v>
      </c>
      <c r="T36" s="496">
        <v>0.39</v>
      </c>
    </row>
    <row r="37" spans="2:20">
      <c r="B37" s="773"/>
      <c r="C37" s="500" t="s">
        <v>499</v>
      </c>
      <c r="D37" s="495">
        <v>0.31900000000000001</v>
      </c>
      <c r="E37" s="496">
        <v>0.311</v>
      </c>
      <c r="G37" s="773"/>
      <c r="H37" s="500" t="s">
        <v>499</v>
      </c>
      <c r="I37" s="495">
        <v>0.36056000000000005</v>
      </c>
      <c r="J37" s="496">
        <v>0.36299999999999999</v>
      </c>
      <c r="Q37" s="773"/>
      <c r="R37" s="500" t="s">
        <v>499</v>
      </c>
      <c r="S37" s="495">
        <v>0.42299999999999999</v>
      </c>
      <c r="T37" s="496">
        <v>0.39900000000000002</v>
      </c>
    </row>
    <row r="38" spans="2:20">
      <c r="B38" s="774"/>
      <c r="C38" s="504" t="s">
        <v>500</v>
      </c>
      <c r="D38" s="505">
        <v>0.33100000000000002</v>
      </c>
      <c r="E38" s="506">
        <v>0.32200000000000001</v>
      </c>
      <c r="G38" s="774"/>
      <c r="H38" s="504" t="s">
        <v>500</v>
      </c>
      <c r="I38" s="531">
        <v>0.35699999999999998</v>
      </c>
      <c r="J38" s="532">
        <v>0.34100000000000003</v>
      </c>
      <c r="Q38" s="774"/>
      <c r="R38" s="504" t="s">
        <v>500</v>
      </c>
      <c r="S38" s="505">
        <v>0.41699999999999998</v>
      </c>
      <c r="T38" s="506">
        <v>0.38600000000000001</v>
      </c>
    </row>
    <row r="39" spans="2:20">
      <c r="I39" s="533">
        <f>I35</f>
        <v>0.34300000000000003</v>
      </c>
      <c r="J39" s="533">
        <f>J35</f>
        <v>0.33100000000000002</v>
      </c>
    </row>
    <row r="40" spans="2:20">
      <c r="B40" s="345" t="s">
        <v>529</v>
      </c>
    </row>
    <row r="42" spans="2:20">
      <c r="C42" s="778" t="s">
        <v>530</v>
      </c>
      <c r="D42" s="778"/>
      <c r="E42" s="778" t="s">
        <v>531</v>
      </c>
      <c r="F42" s="778"/>
      <c r="G42" s="778" t="s">
        <v>532</v>
      </c>
      <c r="H42" s="778"/>
      <c r="I42" s="778" t="s">
        <v>533</v>
      </c>
      <c r="J42" s="778"/>
      <c r="K42" s="779" t="s">
        <v>534</v>
      </c>
      <c r="L42" s="779"/>
      <c r="M42" s="778" t="s">
        <v>535</v>
      </c>
      <c r="N42" s="778"/>
      <c r="O42" s="778" t="s">
        <v>536</v>
      </c>
      <c r="P42" s="778"/>
    </row>
    <row r="43" spans="2:20">
      <c r="B43" s="425"/>
      <c r="C43" s="778" t="s">
        <v>537</v>
      </c>
      <c r="D43" s="778"/>
      <c r="E43" s="778" t="s">
        <v>538</v>
      </c>
      <c r="F43" s="778"/>
      <c r="G43" s="778" t="s">
        <v>539</v>
      </c>
      <c r="H43" s="778"/>
      <c r="I43" s="778" t="s">
        <v>540</v>
      </c>
      <c r="J43" s="778"/>
      <c r="K43" s="779" t="s">
        <v>541</v>
      </c>
      <c r="L43" s="779"/>
      <c r="M43" s="778" t="s">
        <v>542</v>
      </c>
      <c r="N43" s="778"/>
      <c r="O43" s="778" t="s">
        <v>543</v>
      </c>
      <c r="P43" s="778"/>
    </row>
    <row r="44" spans="2:20">
      <c r="B44" s="425"/>
      <c r="C44" s="425" t="s">
        <v>458</v>
      </c>
      <c r="D44" s="425" t="s">
        <v>459</v>
      </c>
      <c r="E44" s="425" t="s">
        <v>458</v>
      </c>
      <c r="F44" s="425" t="s">
        <v>459</v>
      </c>
      <c r="G44" s="425" t="s">
        <v>458</v>
      </c>
      <c r="H44" s="425" t="s">
        <v>459</v>
      </c>
      <c r="I44" s="425" t="s">
        <v>458</v>
      </c>
      <c r="J44" s="425" t="s">
        <v>459</v>
      </c>
      <c r="K44" s="534" t="s">
        <v>458</v>
      </c>
      <c r="L44" s="534" t="s">
        <v>459</v>
      </c>
      <c r="M44" s="425" t="s">
        <v>458</v>
      </c>
      <c r="N44" s="425" t="s">
        <v>459</v>
      </c>
      <c r="O44" s="425" t="s">
        <v>458</v>
      </c>
      <c r="P44" s="425" t="s">
        <v>459</v>
      </c>
    </row>
    <row r="45" spans="2:20">
      <c r="B45" s="425" t="s">
        <v>544</v>
      </c>
      <c r="C45" s="535">
        <v>0.45779999999999998</v>
      </c>
      <c r="D45" s="535">
        <v>0.41010000000000002</v>
      </c>
      <c r="E45" s="535">
        <v>0.43380000000000002</v>
      </c>
      <c r="F45" s="535">
        <v>0.40300000000000002</v>
      </c>
      <c r="G45" s="535">
        <v>0.4073</v>
      </c>
      <c r="H45" s="535">
        <v>0.39169999999999999</v>
      </c>
      <c r="I45" s="535">
        <v>0.38179999999999997</v>
      </c>
      <c r="J45" s="535">
        <v>0.37969999999999998</v>
      </c>
      <c r="K45" s="536">
        <v>0.36109999999999998</v>
      </c>
      <c r="L45" s="536">
        <v>0.36580000000000001</v>
      </c>
      <c r="M45" s="537"/>
      <c r="N45" s="537"/>
      <c r="O45" s="537"/>
      <c r="P45" s="537"/>
    </row>
    <row r="46" spans="2:20">
      <c r="B46" s="425" t="s">
        <v>28</v>
      </c>
      <c r="C46" s="535">
        <v>0.48130000000000001</v>
      </c>
      <c r="D46" s="535">
        <v>0.43190000000000001</v>
      </c>
      <c r="E46" s="535">
        <v>0.45619999999999999</v>
      </c>
      <c r="F46" s="535">
        <v>0.42599999999999999</v>
      </c>
      <c r="G46" s="535">
        <v>0.4299</v>
      </c>
      <c r="H46" s="535">
        <v>0.41649999999999998</v>
      </c>
      <c r="I46" s="535">
        <v>0.40060000000000001</v>
      </c>
      <c r="J46" s="535">
        <v>0.40439999999999998</v>
      </c>
      <c r="K46" s="536">
        <v>0.37359999999999999</v>
      </c>
      <c r="L46" s="536">
        <v>0.38740000000000002</v>
      </c>
      <c r="M46" s="537">
        <v>0.35509733151884504</v>
      </c>
      <c r="N46" s="537">
        <v>0.37600959410685758</v>
      </c>
      <c r="O46" s="537">
        <v>0.31</v>
      </c>
      <c r="P46" s="537">
        <v>0.30199999999999999</v>
      </c>
    </row>
    <row r="47" spans="2:20">
      <c r="B47" s="425" t="s">
        <v>545</v>
      </c>
      <c r="C47" s="535">
        <v>0.45619999999999999</v>
      </c>
      <c r="D47" s="535">
        <v>0.42599999999999999</v>
      </c>
      <c r="E47" s="535">
        <v>0.4299</v>
      </c>
      <c r="F47" s="535">
        <v>0.41649999999999998</v>
      </c>
      <c r="G47" s="535">
        <v>0.39960000000000001</v>
      </c>
      <c r="H47" s="535">
        <v>0.40150000000000002</v>
      </c>
      <c r="I47" s="535">
        <v>0.37359999999999999</v>
      </c>
      <c r="J47" s="535">
        <v>0.38740000000000002</v>
      </c>
      <c r="K47" s="536">
        <v>0.3548</v>
      </c>
      <c r="L47" s="536">
        <v>0.37359999999999999</v>
      </c>
      <c r="M47" s="537">
        <v>0.33100000000000002</v>
      </c>
      <c r="N47" s="537">
        <v>0.35617989999999999</v>
      </c>
      <c r="O47" s="537">
        <v>0.30280000000000001</v>
      </c>
      <c r="P47" s="537">
        <v>0.33040000000000003</v>
      </c>
    </row>
    <row r="48" spans="2:20">
      <c r="B48" s="425" t="s">
        <v>546</v>
      </c>
      <c r="C48" s="535">
        <v>0.43730000000000002</v>
      </c>
      <c r="D48" s="535">
        <v>0.38929999999999998</v>
      </c>
      <c r="E48" s="535">
        <v>0.41470000000000001</v>
      </c>
      <c r="F48" s="535">
        <v>0.38140000000000002</v>
      </c>
      <c r="G48" s="535">
        <v>0.38890000000000002</v>
      </c>
      <c r="H48" s="535">
        <v>0.36899999999999999</v>
      </c>
      <c r="I48" s="535">
        <v>0.36699999999999999</v>
      </c>
      <c r="J48" s="535">
        <v>0.35780000000000001</v>
      </c>
      <c r="K48" s="536">
        <v>0.35120000000000001</v>
      </c>
      <c r="L48" s="536">
        <v>0.34649999999999997</v>
      </c>
      <c r="M48" s="537">
        <v>0.33100000000000002</v>
      </c>
      <c r="N48" s="537">
        <v>0.32200000000000001</v>
      </c>
      <c r="O48" s="537">
        <v>0.33100000000000002</v>
      </c>
      <c r="P48" s="537">
        <v>0.35849999999999999</v>
      </c>
    </row>
    <row r="49" spans="2:45">
      <c r="B49" s="425" t="s">
        <v>547</v>
      </c>
      <c r="C49" s="535">
        <v>0.45929999999999999</v>
      </c>
      <c r="D49" s="535">
        <v>0.39439999999999997</v>
      </c>
      <c r="E49" s="535">
        <v>0.43730000000000002</v>
      </c>
      <c r="F49" s="535">
        <v>0.38929999999999998</v>
      </c>
      <c r="G49" s="535">
        <v>0.41470000000000001</v>
      </c>
      <c r="H49" s="535">
        <v>0.38140000000000002</v>
      </c>
      <c r="I49" s="535">
        <v>0.38979999999999998</v>
      </c>
      <c r="J49" s="535">
        <v>0.37159999999999999</v>
      </c>
      <c r="K49" s="536">
        <v>0.36699999999999999</v>
      </c>
      <c r="L49" s="536">
        <v>0.35780000000000001</v>
      </c>
      <c r="M49" s="537">
        <v>0.34978475009120757</v>
      </c>
      <c r="N49" s="537">
        <v>0.3357226953666545</v>
      </c>
      <c r="O49" s="537">
        <v>0.33100000000000002</v>
      </c>
      <c r="P49" s="537">
        <v>0.32200000000000001</v>
      </c>
    </row>
    <row r="50" spans="2:45">
      <c r="B50" s="538" t="s">
        <v>28</v>
      </c>
      <c r="C50" s="539">
        <v>0.48130000000000001</v>
      </c>
      <c r="D50" s="539">
        <v>0.43190000000000001</v>
      </c>
      <c r="E50" s="540">
        <f t="shared" ref="E50:P50" si="0">E46</f>
        <v>0.45619999999999999</v>
      </c>
      <c r="F50" s="540">
        <f t="shared" si="0"/>
        <v>0.42599999999999999</v>
      </c>
      <c r="G50" s="540">
        <f t="shared" si="0"/>
        <v>0.4299</v>
      </c>
      <c r="H50" s="540">
        <f t="shared" si="0"/>
        <v>0.41649999999999998</v>
      </c>
      <c r="I50" s="540">
        <f t="shared" si="0"/>
        <v>0.40060000000000001</v>
      </c>
      <c r="J50" s="540">
        <f t="shared" si="0"/>
        <v>0.40439999999999998</v>
      </c>
      <c r="K50" s="541">
        <f t="shared" si="0"/>
        <v>0.37359999999999999</v>
      </c>
      <c r="L50" s="541">
        <f t="shared" si="0"/>
        <v>0.38740000000000002</v>
      </c>
      <c r="M50" s="540">
        <f t="shared" si="0"/>
        <v>0.35509733151884504</v>
      </c>
      <c r="N50" s="540">
        <f t="shared" si="0"/>
        <v>0.37600959410685758</v>
      </c>
      <c r="O50" s="540">
        <f t="shared" si="0"/>
        <v>0.31</v>
      </c>
      <c r="P50" s="540">
        <f t="shared" si="0"/>
        <v>0.30199999999999999</v>
      </c>
    </row>
    <row r="51" spans="2:45" ht="14.25" thickBot="1"/>
    <row r="52" spans="2:45" ht="15" thickTop="1" thickBot="1">
      <c r="B52" s="542" t="s">
        <v>548</v>
      </c>
      <c r="C52" s="543"/>
      <c r="D52" s="543"/>
      <c r="E52" s="543"/>
      <c r="F52" s="543"/>
      <c r="G52" s="543"/>
      <c r="H52" s="543"/>
      <c r="I52" s="543"/>
      <c r="J52" s="543"/>
      <c r="K52" s="543"/>
      <c r="L52" s="543"/>
      <c r="M52" s="543"/>
      <c r="N52" s="543"/>
      <c r="O52" s="543"/>
      <c r="P52" s="543"/>
      <c r="Q52" s="543"/>
      <c r="R52" s="543"/>
      <c r="S52" s="543"/>
      <c r="T52" s="543"/>
      <c r="U52" s="543"/>
      <c r="V52" s="543"/>
      <c r="W52" s="543"/>
      <c r="X52" s="543"/>
      <c r="Y52" s="543"/>
      <c r="Z52" s="543"/>
      <c r="AA52" s="543"/>
      <c r="AB52" s="543"/>
      <c r="AC52" s="543"/>
      <c r="AD52" s="543"/>
      <c r="AE52" s="543"/>
      <c r="AF52" s="543"/>
      <c r="AG52" s="543"/>
      <c r="AH52" s="543"/>
      <c r="AI52" s="543"/>
      <c r="AJ52" s="543"/>
      <c r="AK52" s="543"/>
      <c r="AL52" s="543"/>
      <c r="AM52" s="543"/>
      <c r="AN52" s="543"/>
      <c r="AO52" s="543"/>
      <c r="AP52" s="543"/>
      <c r="AQ52" s="543"/>
      <c r="AR52" s="543"/>
      <c r="AS52" s="544"/>
    </row>
    <row r="53" spans="2:45" ht="14.25" thickBot="1">
      <c r="B53" s="545"/>
      <c r="C53" s="546" t="s">
        <v>549</v>
      </c>
      <c r="D53" s="547">
        <v>2000</v>
      </c>
      <c r="E53" s="548">
        <v>2200</v>
      </c>
      <c r="F53" s="548">
        <v>2400</v>
      </c>
      <c r="G53" s="548">
        <v>2600</v>
      </c>
      <c r="H53" s="548">
        <v>2800</v>
      </c>
      <c r="I53" s="548">
        <v>3000</v>
      </c>
      <c r="J53" s="548">
        <v>3200</v>
      </c>
      <c r="K53" s="548">
        <v>3400</v>
      </c>
      <c r="L53" s="548">
        <v>3600</v>
      </c>
      <c r="M53" s="548">
        <v>3800</v>
      </c>
      <c r="N53" s="548">
        <v>4000</v>
      </c>
      <c r="O53" s="548">
        <v>4200</v>
      </c>
      <c r="P53" s="548">
        <v>4400</v>
      </c>
      <c r="Q53" s="548">
        <v>4600</v>
      </c>
      <c r="R53" s="548">
        <v>4800</v>
      </c>
      <c r="S53" s="548">
        <v>5000</v>
      </c>
      <c r="T53" s="548">
        <v>5200</v>
      </c>
      <c r="U53" s="548">
        <v>5400</v>
      </c>
      <c r="V53" s="548">
        <v>5600</v>
      </c>
      <c r="W53" s="548">
        <v>5800</v>
      </c>
      <c r="X53" s="548">
        <v>6000</v>
      </c>
      <c r="Y53" s="548">
        <v>6200</v>
      </c>
      <c r="Z53" s="548">
        <v>6400</v>
      </c>
      <c r="AA53" s="548">
        <v>6600</v>
      </c>
      <c r="AB53" s="548">
        <v>6800</v>
      </c>
      <c r="AC53" s="548">
        <v>7000</v>
      </c>
      <c r="AD53" s="548">
        <v>7200</v>
      </c>
      <c r="AE53" s="548">
        <v>7400</v>
      </c>
      <c r="AF53" s="548">
        <v>7600</v>
      </c>
      <c r="AG53" s="548">
        <v>7800</v>
      </c>
      <c r="AH53" s="548">
        <v>8000</v>
      </c>
      <c r="AI53" s="548">
        <v>8200</v>
      </c>
      <c r="AJ53" s="548">
        <v>8400</v>
      </c>
      <c r="AK53" s="548">
        <v>8600</v>
      </c>
      <c r="AL53" s="548">
        <v>8800</v>
      </c>
      <c r="AM53" s="548">
        <v>9000</v>
      </c>
      <c r="AN53" s="548">
        <v>9200</v>
      </c>
      <c r="AO53" s="548">
        <v>9400</v>
      </c>
      <c r="AP53" s="548">
        <v>9600</v>
      </c>
      <c r="AQ53" s="548">
        <v>9800</v>
      </c>
      <c r="AR53" s="549">
        <v>10000</v>
      </c>
      <c r="AS53" s="550"/>
    </row>
    <row r="54" spans="2:45">
      <c r="B54" s="545"/>
      <c r="C54" s="551" t="s">
        <v>458</v>
      </c>
      <c r="D54" s="552">
        <v>0.52667723158304036</v>
      </c>
      <c r="E54" s="553">
        <v>0.50562499724248489</v>
      </c>
      <c r="F54" s="553">
        <v>0.48614334068944171</v>
      </c>
      <c r="G54" s="553">
        <v>0.46823502282571372</v>
      </c>
      <c r="H54" s="553">
        <v>0.45185660026203173</v>
      </c>
      <c r="I54" s="553">
        <v>0.43693079600254719</v>
      </c>
      <c r="J54" s="553">
        <v>0.42335934348828097</v>
      </c>
      <c r="K54" s="553">
        <v>0.41103369314569038</v>
      </c>
      <c r="L54" s="553">
        <v>0.39984288209589081</v>
      </c>
      <c r="M54" s="553">
        <v>0.38967878992499538</v>
      </c>
      <c r="N54" s="553">
        <v>0.38043932664046054</v>
      </c>
      <c r="O54" s="553">
        <v>0.37203012581688244</v>
      </c>
      <c r="P54" s="553">
        <v>0.3643652259433392</v>
      </c>
      <c r="Q54" s="553">
        <v>0.35736710597064542</v>
      </c>
      <c r="R54" s="553">
        <v>0.35096633478878825</v>
      </c>
      <c r="S54" s="553">
        <v>0.34510101041502067</v>
      </c>
      <c r="T54" s="553">
        <v>0.33971610317289036</v>
      </c>
      <c r="U54" s="553">
        <v>0.33476277420743478</v>
      </c>
      <c r="V54" s="553">
        <v>0.33019771173625373</v>
      </c>
      <c r="W54" s="553">
        <v>0.32598250847605964</v>
      </c>
      <c r="X54" s="553">
        <v>0.32208309160163606</v>
      </c>
      <c r="Y54" s="553">
        <v>0.31846920912673932</v>
      </c>
      <c r="Z54" s="553">
        <v>0.31511397216148507</v>
      </c>
      <c r="AA54" s="553">
        <v>0.31199345001978274</v>
      </c>
      <c r="AB54" s="553">
        <v>0.30908631390291491</v>
      </c>
      <c r="AC54" s="553">
        <v>0.30637352439745053</v>
      </c>
      <c r="AD54" s="553">
        <v>0.30383805798992397</v>
      </c>
      <c r="AE54" s="553">
        <v>0.3014646680206185</v>
      </c>
      <c r="AF54" s="553">
        <v>0.29923967585071565</v>
      </c>
      <c r="AG54" s="553">
        <v>0.29715078842497339</v>
      </c>
      <c r="AH54" s="553">
        <v>0.29518693883042413</v>
      </c>
      <c r="AI54" s="553">
        <v>0.29333814685443937</v>
      </c>
      <c r="AJ54" s="553">
        <v>0.2915953969191471</v>
      </c>
      <c r="AK54" s="553">
        <v>0.28995053110747709</v>
      </c>
      <c r="AL54" s="553">
        <v>0.28839615529748891</v>
      </c>
      <c r="AM54" s="553">
        <v>0.28692555668708153</v>
      </c>
      <c r="AN54" s="553">
        <v>0.2855326312231935</v>
      </c>
      <c r="AO54" s="553">
        <v>0.28421181965116576</v>
      </c>
      <c r="AP54" s="553">
        <v>0.28295805107448713</v>
      </c>
      <c r="AQ54" s="553">
        <v>0.28176669306576169</v>
      </c>
      <c r="AR54" s="554">
        <v>0.28063350749956911</v>
      </c>
      <c r="AS54" s="550"/>
    </row>
    <row r="55" spans="2:45" ht="14.25" thickBot="1">
      <c r="B55" s="545"/>
      <c r="C55" s="555" t="s">
        <v>459</v>
      </c>
      <c r="D55" s="556">
        <v>0.41329703969549225</v>
      </c>
      <c r="E55" s="557">
        <v>0.41520762304875769</v>
      </c>
      <c r="F55" s="557">
        <v>0.41466573483866154</v>
      </c>
      <c r="G55" s="557">
        <v>0.41229913494915138</v>
      </c>
      <c r="H55" s="557">
        <v>0.4086299384908893</v>
      </c>
      <c r="I55" s="557">
        <v>0.40407388293165974</v>
      </c>
      <c r="J55" s="557">
        <v>0.39895152656108923</v>
      </c>
      <c r="K55" s="557">
        <v>0.39350387208063314</v>
      </c>
      <c r="L55" s="557">
        <v>0.38790824573278931</v>
      </c>
      <c r="M55" s="557">
        <v>0.3822924751370671</v>
      </c>
      <c r="N55" s="557">
        <v>0.37674669533592609</v>
      </c>
      <c r="O55" s="557">
        <v>0.37133277348947547</v>
      </c>
      <c r="P55" s="557">
        <v>0.3660916311116284</v>
      </c>
      <c r="Q55" s="557">
        <v>0.36104883091035905</v>
      </c>
      <c r="R55" s="557">
        <v>0.35621878708189647</v>
      </c>
      <c r="S55" s="557">
        <v>0.35160791062267793</v>
      </c>
      <c r="T55" s="557">
        <v>0.34721694388209906</v>
      </c>
      <c r="U55" s="557">
        <v>0.34304268436299923</v>
      </c>
      <c r="V55" s="557">
        <v>0.33907925160159524</v>
      </c>
      <c r="W55" s="557">
        <v>0.33531901375613371</v>
      </c>
      <c r="X55" s="557">
        <v>0.33175326152585566</v>
      </c>
      <c r="Y55" s="557">
        <v>0.32837269485753401</v>
      </c>
      <c r="Z55" s="557">
        <v>0.32516777117571116</v>
      </c>
      <c r="AA55" s="557">
        <v>0.32212895135749053</v>
      </c>
      <c r="AB55" s="557">
        <v>0.31924687034935711</v>
      </c>
      <c r="AC55" s="557">
        <v>0.31651245239550518</v>
      </c>
      <c r="AD55" s="557">
        <v>0.31391698570450799</v>
      </c>
      <c r="AE55" s="557">
        <v>0.31145216756394561</v>
      </c>
      <c r="AF55" s="557">
        <v>0.30911012807757476</v>
      </c>
      <c r="AG55" s="557">
        <v>0.30688343859196443</v>
      </c>
      <c r="AH55" s="557">
        <v>0.30476510931082706</v>
      </c>
      <c r="AI55" s="557">
        <v>0.30274857942636668</v>
      </c>
      <c r="AJ55" s="557">
        <v>0.30082770222503091</v>
      </c>
      <c r="AK55" s="557">
        <v>0.29899672697413221</v>
      </c>
      <c r="AL55" s="557">
        <v>0.29725027890963329</v>
      </c>
      <c r="AM55" s="557">
        <v>0.29558333828230626</v>
      </c>
      <c r="AN55" s="557">
        <v>0.29399121914846033</v>
      </c>
      <c r="AO55" s="557">
        <v>0.29246954838939149</v>
      </c>
      <c r="AP55" s="557">
        <v>0.29101424529348557</v>
      </c>
      <c r="AQ55" s="557">
        <v>0.28962150192349845</v>
      </c>
      <c r="AR55" s="558">
        <v>0.28828776440942172</v>
      </c>
      <c r="AS55" s="550"/>
    </row>
    <row r="56" spans="2:45" ht="14.25" thickBot="1">
      <c r="B56" s="559"/>
      <c r="C56" s="560"/>
      <c r="D56" s="560"/>
      <c r="E56" s="560"/>
      <c r="F56" s="560"/>
      <c r="G56" s="560"/>
      <c r="H56" s="560"/>
      <c r="I56" s="560"/>
      <c r="J56" s="560"/>
      <c r="K56" s="560"/>
      <c r="L56" s="560"/>
      <c r="M56" s="560"/>
      <c r="N56" s="560"/>
      <c r="O56" s="560"/>
      <c r="P56" s="560"/>
      <c r="Q56" s="560"/>
      <c r="R56" s="560"/>
      <c r="S56" s="560"/>
      <c r="T56" s="560"/>
      <c r="U56" s="560"/>
      <c r="V56" s="560"/>
      <c r="W56" s="560"/>
      <c r="X56" s="560"/>
      <c r="Y56" s="560"/>
      <c r="Z56" s="560"/>
      <c r="AA56" s="560"/>
      <c r="AB56" s="560"/>
      <c r="AC56" s="560"/>
      <c r="AD56" s="560"/>
      <c r="AE56" s="560"/>
      <c r="AF56" s="560"/>
      <c r="AG56" s="560"/>
      <c r="AH56" s="560"/>
      <c r="AI56" s="560"/>
      <c r="AJ56" s="560"/>
      <c r="AK56" s="560"/>
      <c r="AL56" s="560"/>
      <c r="AM56" s="560"/>
      <c r="AN56" s="560"/>
      <c r="AO56" s="560"/>
      <c r="AP56" s="560"/>
      <c r="AQ56" s="560"/>
      <c r="AR56" s="560"/>
      <c r="AS56" s="561"/>
    </row>
    <row r="57" spans="2:45" ht="14.25" thickTop="1"/>
    <row r="58" spans="2:45">
      <c r="B58" s="345" t="s">
        <v>550</v>
      </c>
    </row>
    <row r="59" spans="2:45" ht="14.25">
      <c r="B59" s="562" t="s">
        <v>551</v>
      </c>
      <c r="C59" s="563"/>
      <c r="D59" s="564"/>
      <c r="E59" s="562" t="s">
        <v>552</v>
      </c>
      <c r="F59" s="563"/>
      <c r="H59" s="778" t="s">
        <v>553</v>
      </c>
      <c r="I59" s="778"/>
    </row>
    <row r="60" spans="2:45" ht="14.25" thickBot="1">
      <c r="B60" s="425" t="s">
        <v>458</v>
      </c>
      <c r="C60" s="425" t="s">
        <v>459</v>
      </c>
      <c r="E60" s="425" t="s">
        <v>458</v>
      </c>
      <c r="F60" s="425" t="s">
        <v>459</v>
      </c>
      <c r="H60" s="423" t="s">
        <v>458</v>
      </c>
      <c r="I60" s="424" t="s">
        <v>459</v>
      </c>
    </row>
    <row r="61" spans="2:45">
      <c r="B61" s="425">
        <v>0.28699999999999998</v>
      </c>
      <c r="C61" s="425">
        <v>0.29499999999999998</v>
      </c>
      <c r="E61" s="425">
        <v>0.307</v>
      </c>
      <c r="F61" s="425">
        <v>0.315</v>
      </c>
      <c r="H61" s="565">
        <v>0.35510000000000003</v>
      </c>
      <c r="I61" s="566">
        <v>0.376</v>
      </c>
    </row>
    <row r="62" spans="2:45">
      <c r="B62" s="425">
        <v>0.28299999999999997</v>
      </c>
      <c r="C62" s="425">
        <v>0.30499999999999999</v>
      </c>
      <c r="E62" s="425">
        <v>0.30399999999999999</v>
      </c>
      <c r="F62" s="425">
        <v>0.33</v>
      </c>
      <c r="H62" s="567">
        <v>0.33760000000000001</v>
      </c>
      <c r="I62" s="568">
        <v>0.36159999999999998</v>
      </c>
    </row>
    <row r="63" spans="2:45">
      <c r="B63" s="425">
        <v>0.30399999999999999</v>
      </c>
      <c r="C63" s="425">
        <v>0.33</v>
      </c>
      <c r="E63" s="425">
        <v>0.33</v>
      </c>
      <c r="F63" s="425">
        <v>0.36</v>
      </c>
      <c r="H63" s="567">
        <v>0.33660000000000001</v>
      </c>
      <c r="I63" s="568">
        <v>0.33689999999999998</v>
      </c>
    </row>
    <row r="64" spans="2:45" ht="14.25" thickBot="1">
      <c r="B64" s="425">
        <v>0.307</v>
      </c>
      <c r="C64" s="425">
        <v>0.315</v>
      </c>
      <c r="E64" s="425">
        <v>0.33</v>
      </c>
      <c r="F64" s="425">
        <v>0.33900000000000002</v>
      </c>
      <c r="H64" s="569">
        <v>0.35149999999999998</v>
      </c>
      <c r="I64" s="570">
        <v>0.34870000000000001</v>
      </c>
    </row>
    <row r="65" spans="2:17">
      <c r="B65" s="442">
        <f>B61</f>
        <v>0.28699999999999998</v>
      </c>
      <c r="C65" s="442">
        <f>C61</f>
        <v>0.29499999999999998</v>
      </c>
      <c r="E65" s="442">
        <f>E61</f>
        <v>0.307</v>
      </c>
      <c r="F65" s="442">
        <f>F61</f>
        <v>0.315</v>
      </c>
      <c r="H65" s="571">
        <v>0.35510000000000003</v>
      </c>
      <c r="I65" s="572">
        <v>0.376</v>
      </c>
      <c r="L65" s="573"/>
      <c r="M65" s="573">
        <f>AVERAGE(M69:M72)</f>
        <v>0.31355</v>
      </c>
      <c r="N65" s="573">
        <f>AVERAGE(N69:N72)</f>
        <v>0.32335000000000003</v>
      </c>
      <c r="O65" s="573"/>
      <c r="P65" s="573">
        <f>AVERAGE(P69:P72)</f>
        <v>0.31407499999999999</v>
      </c>
      <c r="Q65" s="573">
        <f>AVERAGE(Q69:Q72)</f>
        <v>0.324075</v>
      </c>
    </row>
    <row r="66" spans="2:17" ht="14.25" thickBot="1">
      <c r="L66" s="573"/>
      <c r="M66" s="573"/>
      <c r="N66" s="573"/>
      <c r="O66" s="573"/>
      <c r="P66" s="573">
        <f>P65-M65</f>
        <v>5.2499999999999769E-4</v>
      </c>
      <c r="Q66" s="573">
        <f>Q65-N65</f>
        <v>7.2499999999997566E-4</v>
      </c>
    </row>
    <row r="67" spans="2:17" ht="14.25" thickBot="1">
      <c r="B67" s="562" t="s">
        <v>554</v>
      </c>
      <c r="C67" s="563"/>
      <c r="E67" s="562" t="s">
        <v>555</v>
      </c>
      <c r="F67" s="563"/>
      <c r="H67" s="574" t="s">
        <v>556</v>
      </c>
      <c r="I67" s="575"/>
      <c r="J67" s="576" t="s">
        <v>557</v>
      </c>
      <c r="K67" s="577"/>
      <c r="L67" s="578" t="s">
        <v>558</v>
      </c>
      <c r="M67" s="578"/>
      <c r="N67" s="578"/>
      <c r="O67" s="579" t="s">
        <v>559</v>
      </c>
      <c r="P67" s="580">
        <f>P63</f>
        <v>0</v>
      </c>
      <c r="Q67" s="580">
        <f>Q63</f>
        <v>0</v>
      </c>
    </row>
    <row r="68" spans="2:17" ht="14.25" thickBot="1">
      <c r="B68" s="425" t="s">
        <v>458</v>
      </c>
      <c r="C68" s="425" t="s">
        <v>459</v>
      </c>
      <c r="E68" s="425" t="s">
        <v>458</v>
      </c>
      <c r="F68" s="425" t="s">
        <v>459</v>
      </c>
      <c r="H68" s="423" t="s">
        <v>458</v>
      </c>
      <c r="I68" s="424" t="s">
        <v>459</v>
      </c>
      <c r="J68" s="581" t="s">
        <v>458</v>
      </c>
      <c r="K68" s="581" t="s">
        <v>459</v>
      </c>
      <c r="L68" s="578">
        <v>1</v>
      </c>
      <c r="M68" s="578" t="s">
        <v>490</v>
      </c>
      <c r="N68" s="578" t="s">
        <v>491</v>
      </c>
      <c r="O68" s="582">
        <v>3</v>
      </c>
      <c r="P68" s="583" t="s">
        <v>490</v>
      </c>
      <c r="Q68" s="584" t="s">
        <v>491</v>
      </c>
    </row>
    <row r="69" spans="2:17">
      <c r="B69" s="425">
        <v>0.29599999999999999</v>
      </c>
      <c r="C69" s="425">
        <v>0.27600000000000002</v>
      </c>
      <c r="E69" s="425">
        <v>0.311</v>
      </c>
      <c r="F69" s="425">
        <v>0.29399999999999998</v>
      </c>
      <c r="H69" s="565">
        <v>0.4672</v>
      </c>
      <c r="I69" s="566">
        <v>0.42399999999999999</v>
      </c>
      <c r="J69" s="585">
        <v>0.31469999999999998</v>
      </c>
      <c r="K69" s="586">
        <v>0.33189999999999997</v>
      </c>
      <c r="L69" s="578" t="s">
        <v>493</v>
      </c>
      <c r="M69" s="578">
        <v>0.31950000000000001</v>
      </c>
      <c r="N69" s="578">
        <v>0.3352</v>
      </c>
      <c r="O69" s="587" t="s">
        <v>493</v>
      </c>
      <c r="P69" s="588">
        <v>0.31950000000000001</v>
      </c>
      <c r="Q69" s="589">
        <v>0.3352</v>
      </c>
    </row>
    <row r="70" spans="2:17">
      <c r="B70" s="425">
        <v>0.28699999999999998</v>
      </c>
      <c r="C70" s="425">
        <v>0.29499999999999998</v>
      </c>
      <c r="E70" s="425">
        <v>0.307</v>
      </c>
      <c r="F70" s="425">
        <v>0.315</v>
      </c>
      <c r="H70" s="567">
        <v>0.44679999999999997</v>
      </c>
      <c r="I70" s="568">
        <v>0.41880000000000001</v>
      </c>
      <c r="J70" s="590">
        <v>0.29880000000000001</v>
      </c>
      <c r="K70" s="591">
        <v>0.31659999999999999</v>
      </c>
      <c r="L70" s="578" t="s">
        <v>498</v>
      </c>
      <c r="M70" s="578">
        <v>0.30609999999999998</v>
      </c>
      <c r="N70" s="578">
        <v>0.32169999999999999</v>
      </c>
      <c r="O70" s="592" t="s">
        <v>498</v>
      </c>
      <c r="P70" s="593">
        <v>0.30719999999999997</v>
      </c>
      <c r="Q70" s="594">
        <v>0.32269999999999999</v>
      </c>
    </row>
    <row r="71" spans="2:17">
      <c r="B71" s="425">
        <v>0.307</v>
      </c>
      <c r="C71" s="425">
        <v>0.315</v>
      </c>
      <c r="E71" s="425">
        <v>0.33</v>
      </c>
      <c r="F71" s="425">
        <v>0.33900000000000002</v>
      </c>
      <c r="H71" s="567">
        <v>0.4345</v>
      </c>
      <c r="I71" s="568">
        <v>0.39360000000000001</v>
      </c>
      <c r="J71" s="590">
        <v>0.30180000000000001</v>
      </c>
      <c r="K71" s="591">
        <v>0.30380000000000001</v>
      </c>
      <c r="L71" s="578" t="s">
        <v>499</v>
      </c>
      <c r="M71" s="578">
        <v>0.30819999999999997</v>
      </c>
      <c r="N71" s="578">
        <v>0.31259999999999999</v>
      </c>
      <c r="O71" s="592" t="s">
        <v>499</v>
      </c>
      <c r="P71" s="593">
        <v>0.30919999999999997</v>
      </c>
      <c r="Q71" s="595">
        <v>0.314</v>
      </c>
    </row>
    <row r="72" spans="2:17" ht="14.25" thickBot="1">
      <c r="B72" s="425">
        <v>0.311</v>
      </c>
      <c r="C72" s="425">
        <v>0.29399999999999998</v>
      </c>
      <c r="E72" s="425">
        <v>0.33</v>
      </c>
      <c r="F72" s="425">
        <v>0.318</v>
      </c>
      <c r="H72" s="569">
        <v>0.45319999999999999</v>
      </c>
      <c r="I72" s="570">
        <v>0.39839999999999998</v>
      </c>
      <c r="J72" s="596">
        <v>0.31590000000000001</v>
      </c>
      <c r="K72" s="597">
        <v>0.31690000000000002</v>
      </c>
      <c r="L72" s="578" t="s">
        <v>500</v>
      </c>
      <c r="M72" s="578">
        <v>0.32040000000000002</v>
      </c>
      <c r="N72" s="578">
        <v>0.32390000000000002</v>
      </c>
      <c r="O72" s="598" t="s">
        <v>500</v>
      </c>
      <c r="P72" s="599">
        <v>0.32040000000000002</v>
      </c>
      <c r="Q72" s="600">
        <v>0.32440000000000002</v>
      </c>
    </row>
    <row r="73" spans="2:17">
      <c r="B73" s="442">
        <f>B69</f>
        <v>0.29599999999999999</v>
      </c>
      <c r="C73" s="442">
        <f>C69</f>
        <v>0.27600000000000002</v>
      </c>
      <c r="E73" s="442">
        <f>E69</f>
        <v>0.311</v>
      </c>
      <c r="F73" s="442">
        <f>F69</f>
        <v>0.29399999999999998</v>
      </c>
      <c r="H73" s="571">
        <f>H69</f>
        <v>0.4672</v>
      </c>
      <c r="I73" s="572">
        <f>I69</f>
        <v>0.42399999999999999</v>
      </c>
      <c r="J73" s="601">
        <f>J69</f>
        <v>0.31469999999999998</v>
      </c>
      <c r="K73" s="602">
        <f>K69</f>
        <v>0.33189999999999997</v>
      </c>
      <c r="L73" s="578"/>
      <c r="M73" s="578">
        <v>0.31951521900000002</v>
      </c>
      <c r="N73" s="578">
        <v>0.33500000000000002</v>
      </c>
      <c r="O73" s="603"/>
      <c r="P73" s="604">
        <v>0.31950000000000001</v>
      </c>
      <c r="Q73" s="604">
        <v>0.3352</v>
      </c>
    </row>
    <row r="74" spans="2:17">
      <c r="L74" s="573"/>
      <c r="M74" s="573"/>
      <c r="N74" s="573"/>
      <c r="O74" s="573"/>
      <c r="P74" s="573"/>
      <c r="Q74" s="573"/>
    </row>
    <row r="75" spans="2:17">
      <c r="L75" s="573"/>
      <c r="M75" s="573"/>
      <c r="N75" s="573"/>
      <c r="O75" s="579" t="s">
        <v>560</v>
      </c>
      <c r="P75" s="573" t="s">
        <v>561</v>
      </c>
      <c r="Q75" s="573" t="s">
        <v>562</v>
      </c>
    </row>
    <row r="76" spans="2:17">
      <c r="B76" s="605"/>
      <c r="C76" s="605"/>
      <c r="D76" s="605"/>
      <c r="E76" s="605"/>
      <c r="G76" s="606" t="s">
        <v>563</v>
      </c>
      <c r="H76" s="607"/>
      <c r="I76" s="607"/>
      <c r="L76" s="573"/>
      <c r="M76" s="573"/>
      <c r="N76" s="573"/>
      <c r="O76" s="573" t="s">
        <v>564</v>
      </c>
      <c r="P76" s="573">
        <f t="shared" ref="P76:Q79" si="1">M69+P$66*2</f>
        <v>0.32055</v>
      </c>
      <c r="Q76" s="573">
        <f t="shared" si="1"/>
        <v>0.33664999999999995</v>
      </c>
    </row>
    <row r="77" spans="2:17">
      <c r="B77" s="780"/>
      <c r="C77" s="780"/>
      <c r="D77" s="608"/>
      <c r="E77" s="608"/>
      <c r="G77" s="609"/>
      <c r="H77" s="609" t="s">
        <v>561</v>
      </c>
      <c r="I77" s="609" t="s">
        <v>562</v>
      </c>
      <c r="K77" s="609"/>
      <c r="L77" s="610" t="s">
        <v>561</v>
      </c>
      <c r="M77" s="610" t="s">
        <v>562</v>
      </c>
      <c r="N77" s="573"/>
      <c r="O77" s="573" t="s">
        <v>565</v>
      </c>
      <c r="P77" s="573">
        <f t="shared" si="1"/>
        <v>0.30714999999999998</v>
      </c>
      <c r="Q77" s="573">
        <f t="shared" si="1"/>
        <v>0.32314999999999994</v>
      </c>
    </row>
    <row r="78" spans="2:17">
      <c r="B78" s="780"/>
      <c r="C78" s="608"/>
      <c r="D78" s="611"/>
      <c r="E78" s="611"/>
      <c r="G78" s="781" t="s">
        <v>566</v>
      </c>
      <c r="H78" s="612">
        <v>0.45278099999999999</v>
      </c>
      <c r="I78" s="612">
        <v>0.39760899999999999</v>
      </c>
      <c r="K78" s="784" t="s">
        <v>567</v>
      </c>
      <c r="L78" s="610">
        <v>0.31530000000000002</v>
      </c>
      <c r="M78" s="610">
        <v>0.31290000000000001</v>
      </c>
      <c r="N78" s="573"/>
      <c r="O78" s="573" t="s">
        <v>568</v>
      </c>
      <c r="P78" s="573">
        <f t="shared" si="1"/>
        <v>0.30924999999999997</v>
      </c>
      <c r="Q78" s="573">
        <f t="shared" si="1"/>
        <v>0.31404999999999994</v>
      </c>
    </row>
    <row r="79" spans="2:17">
      <c r="B79" s="780"/>
      <c r="C79" s="608"/>
      <c r="D79" s="611"/>
      <c r="E79" s="611"/>
      <c r="G79" s="782"/>
      <c r="H79" s="612">
        <v>0.43528099999999997</v>
      </c>
      <c r="I79" s="612">
        <v>0.39290900000000001</v>
      </c>
      <c r="K79" s="784"/>
      <c r="L79" s="610">
        <v>0.31309999999999999</v>
      </c>
      <c r="M79" s="610">
        <v>0.3296</v>
      </c>
      <c r="N79" s="573"/>
      <c r="O79" s="573" t="s">
        <v>569</v>
      </c>
      <c r="P79" s="573">
        <f t="shared" si="1"/>
        <v>0.32145000000000001</v>
      </c>
      <c r="Q79" s="573">
        <f t="shared" si="1"/>
        <v>0.32534999999999997</v>
      </c>
    </row>
    <row r="80" spans="2:17">
      <c r="B80" s="780"/>
      <c r="C80" s="608"/>
      <c r="D80" s="611"/>
      <c r="E80" s="611"/>
      <c r="G80" s="782"/>
      <c r="H80" s="612">
        <v>0.44758100000000001</v>
      </c>
      <c r="I80" s="612">
        <v>0.41730899999999999</v>
      </c>
      <c r="K80" s="784"/>
      <c r="L80" s="613">
        <v>0.2949</v>
      </c>
      <c r="M80" s="613">
        <v>0.31069999999999998</v>
      </c>
      <c r="N80" s="573"/>
      <c r="O80" s="573"/>
      <c r="P80" s="573">
        <f>P76</f>
        <v>0.32055</v>
      </c>
      <c r="Q80" s="573">
        <f>Q76</f>
        <v>0.33664999999999995</v>
      </c>
    </row>
    <row r="81" spans="2:17">
      <c r="B81" s="780"/>
      <c r="C81" s="608"/>
      <c r="D81" s="611"/>
      <c r="E81" s="611"/>
      <c r="G81" s="783"/>
      <c r="H81" s="612">
        <v>0.466781</v>
      </c>
      <c r="I81" s="612">
        <v>0.42240899999999998</v>
      </c>
      <c r="K81" s="784"/>
      <c r="L81" s="613">
        <v>0.29930000000000001</v>
      </c>
      <c r="M81" s="613">
        <v>0.29680000000000001</v>
      </c>
      <c r="N81" s="573"/>
      <c r="O81" s="573"/>
      <c r="P81" s="573"/>
      <c r="Q81" s="573"/>
    </row>
    <row r="82" spans="2:17" ht="14.25" thickBot="1">
      <c r="B82" s="780"/>
      <c r="C82" s="608"/>
      <c r="D82" s="611"/>
      <c r="E82" s="611"/>
      <c r="G82" s="609"/>
      <c r="H82" s="612">
        <v>0.45278099999999999</v>
      </c>
      <c r="I82" s="612">
        <v>0.39760899999999999</v>
      </c>
      <c r="K82" s="609"/>
      <c r="L82" s="614">
        <f>L78</f>
        <v>0.31530000000000002</v>
      </c>
      <c r="M82" s="614">
        <f>M78</f>
        <v>0.31290000000000001</v>
      </c>
      <c r="N82" s="573"/>
      <c r="O82" s="615" t="s">
        <v>570</v>
      </c>
      <c r="P82" s="580"/>
      <c r="Q82" s="580"/>
    </row>
    <row r="83" spans="2:17" ht="14.25" thickBot="1">
      <c r="B83" s="468"/>
      <c r="C83" s="468"/>
      <c r="D83" s="616"/>
      <c r="E83" s="616"/>
      <c r="G83" s="617" t="s">
        <v>571</v>
      </c>
      <c r="H83" s="612">
        <v>0.45048100000000002</v>
      </c>
      <c r="I83" s="612">
        <v>0.40750900000000001</v>
      </c>
      <c r="K83" s="617" t="s">
        <v>571</v>
      </c>
      <c r="L83" s="613">
        <v>0.30559999999999998</v>
      </c>
      <c r="M83" s="613">
        <v>0.31259999999999999</v>
      </c>
      <c r="N83" s="573"/>
      <c r="O83" s="582">
        <v>3</v>
      </c>
      <c r="P83" s="583" t="s">
        <v>490</v>
      </c>
      <c r="Q83" s="584" t="s">
        <v>491</v>
      </c>
    </row>
    <row r="84" spans="2:17">
      <c r="G84" s="618"/>
      <c r="H84" s="618"/>
      <c r="I84" s="618"/>
      <c r="L84" s="573"/>
      <c r="M84" s="573"/>
      <c r="N84" s="573"/>
      <c r="O84" s="587" t="s">
        <v>493</v>
      </c>
      <c r="P84" s="588">
        <f>P76</f>
        <v>0.32055</v>
      </c>
      <c r="Q84" s="589">
        <f>Q76</f>
        <v>0.33664999999999995</v>
      </c>
    </row>
    <row r="85" spans="2:17">
      <c r="L85" s="573"/>
      <c r="M85" s="573"/>
      <c r="N85" s="573"/>
      <c r="O85" s="592" t="s">
        <v>498</v>
      </c>
      <c r="P85" s="593">
        <v>0.30719999999999997</v>
      </c>
      <c r="Q85" s="594">
        <v>0.32269999999999999</v>
      </c>
    </row>
    <row r="86" spans="2:17">
      <c r="L86" s="573"/>
      <c r="M86" s="573"/>
      <c r="N86" s="573"/>
      <c r="O86" s="592" t="s">
        <v>499</v>
      </c>
      <c r="P86" s="593">
        <v>0.30919999999999997</v>
      </c>
      <c r="Q86" s="595">
        <v>0.314</v>
      </c>
    </row>
    <row r="87" spans="2:17" ht="14.25" thickBot="1">
      <c r="L87" s="573"/>
      <c r="M87" s="573"/>
      <c r="N87" s="573"/>
      <c r="O87" s="598" t="s">
        <v>500</v>
      </c>
      <c r="P87" s="599">
        <f>P79</f>
        <v>0.32145000000000001</v>
      </c>
      <c r="Q87" s="600">
        <f>Q79</f>
        <v>0.32534999999999997</v>
      </c>
    </row>
    <row r="88" spans="2:17" ht="14.25" thickBot="1">
      <c r="G88" s="619" t="s">
        <v>572</v>
      </c>
      <c r="H88" s="489" t="s">
        <v>490</v>
      </c>
      <c r="I88" s="490" t="s">
        <v>491</v>
      </c>
      <c r="O88" s="512"/>
      <c r="P88" s="620">
        <f>P84</f>
        <v>0.32055</v>
      </c>
      <c r="Q88" s="620">
        <f>Q84</f>
        <v>0.33664999999999995</v>
      </c>
    </row>
    <row r="89" spans="2:17">
      <c r="G89" s="497" t="s">
        <v>493</v>
      </c>
      <c r="H89" s="621">
        <v>0.30830000000000002</v>
      </c>
      <c r="I89" s="622">
        <v>0.32390000000000002</v>
      </c>
    </row>
    <row r="90" spans="2:17">
      <c r="G90" s="501" t="s">
        <v>498</v>
      </c>
      <c r="H90" s="623">
        <v>0.31929999999999997</v>
      </c>
      <c r="I90" s="624">
        <v>0.33500000000000002</v>
      </c>
    </row>
    <row r="91" spans="2:17">
      <c r="G91" s="501" t="s">
        <v>499</v>
      </c>
      <c r="H91" s="625">
        <v>0.32</v>
      </c>
      <c r="I91" s="626">
        <v>0.32629999999999998</v>
      </c>
    </row>
    <row r="92" spans="2:17" ht="14.25" thickBot="1">
      <c r="G92" s="507" t="s">
        <v>500</v>
      </c>
      <c r="H92" s="627">
        <v>0.30990000000000001</v>
      </c>
      <c r="I92" s="628">
        <v>0.31690000000000002</v>
      </c>
    </row>
    <row r="93" spans="2:17" ht="14.25" thickBot="1">
      <c r="G93" s="512"/>
      <c r="H93" s="513">
        <v>0.30830000000000002</v>
      </c>
      <c r="I93" s="514">
        <v>0.32390000000000002</v>
      </c>
    </row>
    <row r="94" spans="2:17" ht="14.25" thickBot="1">
      <c r="G94" s="629" t="s">
        <v>573</v>
      </c>
      <c r="H94" s="521" t="s">
        <v>490</v>
      </c>
      <c r="I94" s="490" t="s">
        <v>491</v>
      </c>
    </row>
    <row r="95" spans="2:17">
      <c r="G95" s="497" t="s">
        <v>493</v>
      </c>
      <c r="H95" s="630">
        <v>0.31931521909232036</v>
      </c>
      <c r="I95" s="631">
        <v>0.33499818434515999</v>
      </c>
    </row>
    <row r="96" spans="2:17">
      <c r="G96" s="501" t="s">
        <v>498</v>
      </c>
      <c r="H96" s="632">
        <v>0.30594201024132472</v>
      </c>
      <c r="I96" s="633">
        <v>0.32152444112946699</v>
      </c>
    </row>
    <row r="97" spans="2:39">
      <c r="G97" s="501" t="s">
        <v>499</v>
      </c>
      <c r="H97" s="632">
        <v>0.3080269309913129</v>
      </c>
      <c r="I97" s="633">
        <v>0.31244897320622883</v>
      </c>
    </row>
    <row r="98" spans="2:39" ht="14.25" thickBot="1">
      <c r="G98" s="507" t="s">
        <v>500</v>
      </c>
      <c r="H98" s="634">
        <v>0.32021383967504208</v>
      </c>
      <c r="I98" s="635">
        <v>0.32367440131914432</v>
      </c>
    </row>
    <row r="99" spans="2:39" ht="14.25" thickBot="1">
      <c r="G99" s="636" t="s">
        <v>574</v>
      </c>
      <c r="H99" s="637">
        <f>H95</f>
        <v>0.31931521909232036</v>
      </c>
      <c r="I99" s="637">
        <f>I95</f>
        <v>0.33499818434515999</v>
      </c>
    </row>
    <row r="100" spans="2:39" ht="14.25" thickBot="1">
      <c r="G100" s="638" t="s">
        <v>575</v>
      </c>
      <c r="H100" s="521" t="s">
        <v>490</v>
      </c>
      <c r="I100" s="490" t="s">
        <v>491</v>
      </c>
    </row>
    <row r="101" spans="2:39">
      <c r="G101" s="497" t="s">
        <v>493</v>
      </c>
      <c r="H101" s="639">
        <v>0.30790000000000001</v>
      </c>
      <c r="I101" s="640">
        <v>0.32580000000000003</v>
      </c>
    </row>
    <row r="102" spans="2:39">
      <c r="G102" s="501" t="s">
        <v>498</v>
      </c>
      <c r="H102" s="623">
        <v>0.30990000000000001</v>
      </c>
      <c r="I102" s="624">
        <v>0.31690000000000002</v>
      </c>
    </row>
    <row r="103" spans="2:39">
      <c r="G103" s="501" t="s">
        <v>499</v>
      </c>
      <c r="H103" s="623">
        <v>0.32190000000000002</v>
      </c>
      <c r="I103" s="624">
        <v>0.3281</v>
      </c>
    </row>
    <row r="104" spans="2:39" ht="14.25" thickBot="1">
      <c r="G104" s="507" t="s">
        <v>500</v>
      </c>
      <c r="H104" s="627">
        <v>0.32200000000000001</v>
      </c>
      <c r="I104" s="628">
        <v>0.34050000000000002</v>
      </c>
    </row>
    <row r="105" spans="2:39">
      <c r="G105" s="636" t="s">
        <v>574</v>
      </c>
      <c r="H105" s="641">
        <f>H101</f>
        <v>0.30790000000000001</v>
      </c>
      <c r="I105" s="641">
        <f>I101</f>
        <v>0.32580000000000003</v>
      </c>
    </row>
    <row r="107" spans="2:39" ht="14.25" thickBot="1">
      <c r="AG107" s="345" t="s">
        <v>576</v>
      </c>
    </row>
    <row r="108" spans="2:39" ht="14.25" thickBot="1">
      <c r="B108" s="642" t="s">
        <v>577</v>
      </c>
      <c r="C108" s="643"/>
      <c r="F108" s="642">
        <v>503</v>
      </c>
      <c r="G108" s="643"/>
      <c r="J108" s="642">
        <v>403</v>
      </c>
      <c r="K108" s="643"/>
      <c r="N108" s="642">
        <v>353</v>
      </c>
      <c r="O108" s="643"/>
      <c r="R108" s="642">
        <v>303</v>
      </c>
      <c r="S108" s="643"/>
      <c r="V108" s="642">
        <v>273</v>
      </c>
      <c r="W108" s="643"/>
      <c r="Z108" s="642" t="s">
        <v>578</v>
      </c>
      <c r="AA108" s="643"/>
      <c r="AC108" s="642" t="s">
        <v>579</v>
      </c>
      <c r="AD108" s="643"/>
      <c r="AG108" s="642" t="s">
        <v>580</v>
      </c>
      <c r="AH108" s="643"/>
      <c r="AK108" s="644" t="s">
        <v>581</v>
      </c>
      <c r="AL108" s="645"/>
      <c r="AM108" s="646"/>
    </row>
    <row r="109" spans="2:39">
      <c r="AK109" s="646"/>
      <c r="AL109" s="646"/>
      <c r="AM109" s="646"/>
    </row>
    <row r="110" spans="2:39">
      <c r="B110" s="425" t="s">
        <v>582</v>
      </c>
      <c r="C110" s="425" t="s">
        <v>583</v>
      </c>
      <c r="F110" s="425" t="s">
        <v>466</v>
      </c>
      <c r="G110" s="425" t="s">
        <v>467</v>
      </c>
      <c r="J110" s="425" t="s">
        <v>466</v>
      </c>
      <c r="K110" s="425" t="s">
        <v>467</v>
      </c>
      <c r="N110" s="425" t="s">
        <v>466</v>
      </c>
      <c r="O110" s="425" t="s">
        <v>467</v>
      </c>
      <c r="R110" s="425" t="s">
        <v>466</v>
      </c>
      <c r="S110" s="425" t="s">
        <v>467</v>
      </c>
      <c r="V110" s="425" t="s">
        <v>466</v>
      </c>
      <c r="W110" s="425" t="s">
        <v>467</v>
      </c>
      <c r="Z110" s="425" t="s">
        <v>466</v>
      </c>
      <c r="AA110" s="425" t="s">
        <v>467</v>
      </c>
      <c r="AC110" s="425" t="s">
        <v>466</v>
      </c>
      <c r="AD110" s="425" t="s">
        <v>467</v>
      </c>
      <c r="AG110" s="425" t="s">
        <v>466</v>
      </c>
      <c r="AH110" s="425" t="s">
        <v>467</v>
      </c>
      <c r="AK110" s="647" t="s">
        <v>466</v>
      </c>
      <c r="AL110" s="647" t="s">
        <v>467</v>
      </c>
      <c r="AM110" s="646"/>
    </row>
    <row r="111" spans="2:39">
      <c r="B111" s="425">
        <v>0.31230000000000002</v>
      </c>
      <c r="C111" s="425">
        <v>0.32819999999999999</v>
      </c>
      <c r="F111" s="425">
        <v>0.34460000000000002</v>
      </c>
      <c r="G111" s="425">
        <v>0.35510000000000003</v>
      </c>
      <c r="J111" s="425">
        <v>0.38179999999999997</v>
      </c>
      <c r="K111" s="425">
        <v>0.37959999999999999</v>
      </c>
      <c r="N111" s="425">
        <v>0.4078</v>
      </c>
      <c r="O111" s="425">
        <v>0.39290000000000003</v>
      </c>
      <c r="R111" s="425">
        <v>0.43390000000000001</v>
      </c>
      <c r="S111" s="425">
        <v>0.4032</v>
      </c>
      <c r="V111" s="425">
        <v>0.4577</v>
      </c>
      <c r="W111" s="425">
        <v>0.4098</v>
      </c>
      <c r="Z111" s="425">
        <v>0.34470000000000001</v>
      </c>
      <c r="AA111" s="425">
        <v>0.3553</v>
      </c>
      <c r="AC111" s="425">
        <v>0.38179999999999997</v>
      </c>
      <c r="AD111" s="425">
        <v>0.37969999999999998</v>
      </c>
      <c r="AG111" s="425">
        <v>0.31230000000000002</v>
      </c>
      <c r="AH111" s="425">
        <v>0.32819999999999999</v>
      </c>
      <c r="AK111" s="647">
        <v>0.31230000000000002</v>
      </c>
      <c r="AL111" s="647">
        <v>0.32819999999999999</v>
      </c>
      <c r="AM111" s="646"/>
    </row>
    <row r="112" spans="2:39">
      <c r="AK112" s="646"/>
      <c r="AL112" s="646"/>
      <c r="AM112" s="646"/>
    </row>
    <row r="113" spans="2:39">
      <c r="B113" s="425" t="s">
        <v>584</v>
      </c>
      <c r="C113" s="425" t="s">
        <v>585</v>
      </c>
      <c r="D113" s="425" t="s">
        <v>586</v>
      </c>
      <c r="F113" s="425" t="s">
        <v>469</v>
      </c>
      <c r="G113" s="425" t="s">
        <v>470</v>
      </c>
      <c r="H113" s="425" t="s">
        <v>471</v>
      </c>
      <c r="J113" s="425" t="s">
        <v>469</v>
      </c>
      <c r="K113" s="425" t="s">
        <v>470</v>
      </c>
      <c r="L113" s="425" t="s">
        <v>471</v>
      </c>
      <c r="N113" s="425" t="s">
        <v>469</v>
      </c>
      <c r="O113" s="425" t="s">
        <v>470</v>
      </c>
      <c r="P113" s="425" t="s">
        <v>471</v>
      </c>
      <c r="R113" s="425" t="s">
        <v>469</v>
      </c>
      <c r="S113" s="425" t="s">
        <v>470</v>
      </c>
      <c r="T113" s="425" t="s">
        <v>471</v>
      </c>
      <c r="V113" s="425" t="s">
        <v>469</v>
      </c>
      <c r="W113" s="425" t="s">
        <v>470</v>
      </c>
      <c r="X113" s="425" t="s">
        <v>471</v>
      </c>
      <c r="Z113" s="425" t="s">
        <v>469</v>
      </c>
      <c r="AA113" s="425" t="s">
        <v>470</v>
      </c>
      <c r="AB113" s="425" t="s">
        <v>471</v>
      </c>
      <c r="AC113" s="425" t="s">
        <v>469</v>
      </c>
      <c r="AD113" s="425" t="s">
        <v>470</v>
      </c>
      <c r="AE113" s="425" t="s">
        <v>471</v>
      </c>
      <c r="AG113" s="425" t="s">
        <v>469</v>
      </c>
      <c r="AH113" s="425" t="s">
        <v>470</v>
      </c>
      <c r="AI113" s="425" t="s">
        <v>471</v>
      </c>
      <c r="AK113" s="647" t="s">
        <v>469</v>
      </c>
      <c r="AL113" s="647" t="s">
        <v>470</v>
      </c>
      <c r="AM113" s="647" t="s">
        <v>471</v>
      </c>
    </row>
    <row r="114" spans="2:39">
      <c r="B114" s="425">
        <v>58.38</v>
      </c>
      <c r="C114" s="425">
        <v>6.6900000000000006E-3</v>
      </c>
      <c r="D114" s="425">
        <v>2.8500000000000001E-3</v>
      </c>
      <c r="F114" s="425">
        <v>59.62</v>
      </c>
      <c r="G114" s="425">
        <v>8.2199999999999999E-3</v>
      </c>
      <c r="H114" s="425">
        <v>3.5400000000000002E-3</v>
      </c>
      <c r="J114" s="425">
        <v>54</v>
      </c>
      <c r="K114" s="425">
        <v>9.389999999999999E-3</v>
      </c>
      <c r="L114" s="425">
        <v>4.0200000000000001E-3</v>
      </c>
      <c r="N114" s="425">
        <v>52.97</v>
      </c>
      <c r="O114" s="425">
        <v>9.5100000000000011E-3</v>
      </c>
      <c r="P114" s="425">
        <v>4.1700000000000001E-3</v>
      </c>
      <c r="R114" s="425">
        <v>53.17</v>
      </c>
      <c r="S114" s="425">
        <v>8.3400000000000002E-3</v>
      </c>
      <c r="T114" s="425">
        <v>4.0800000000000003E-3</v>
      </c>
      <c r="V114" s="425">
        <v>57.28</v>
      </c>
      <c r="W114" s="425">
        <v>7.7399999999999995E-3</v>
      </c>
      <c r="X114" s="425">
        <v>4.1099999999999999E-3</v>
      </c>
      <c r="Z114" s="425">
        <v>59.62</v>
      </c>
      <c r="AA114" s="425">
        <v>5.4799999999999996E-3</v>
      </c>
      <c r="AB114" s="425">
        <v>2.3600000000000001E-3</v>
      </c>
      <c r="AC114" s="425">
        <v>54</v>
      </c>
      <c r="AD114" s="425">
        <v>6.2599999999999999E-3</v>
      </c>
      <c r="AE114" s="425">
        <v>2.6800000000000001E-3</v>
      </c>
      <c r="AG114" s="425">
        <v>58.38</v>
      </c>
      <c r="AH114" s="425">
        <v>1.315E-2</v>
      </c>
      <c r="AI114" s="425">
        <v>6.7499999999999999E-3</v>
      </c>
      <c r="AK114" s="647">
        <v>58.38</v>
      </c>
      <c r="AL114" s="647">
        <v>1.115E-2</v>
      </c>
      <c r="AM114" s="647">
        <v>4.7499999999999999E-3</v>
      </c>
    </row>
    <row r="115" spans="2:39">
      <c r="Z115" s="648" t="s">
        <v>587</v>
      </c>
      <c r="AA115" s="648" t="s">
        <v>588</v>
      </c>
      <c r="AB115" s="648" t="s">
        <v>589</v>
      </c>
      <c r="AC115" s="648" t="s">
        <v>587</v>
      </c>
      <c r="AD115" s="648" t="s">
        <v>588</v>
      </c>
      <c r="AE115" s="648" t="s">
        <v>589</v>
      </c>
      <c r="AK115" s="646"/>
      <c r="AL115" s="646"/>
      <c r="AM115" s="646"/>
    </row>
    <row r="116" spans="2:39" ht="14.25" thickBot="1">
      <c r="B116" s="435" t="s">
        <v>590</v>
      </c>
      <c r="C116" s="435" t="s">
        <v>591</v>
      </c>
      <c r="F116" s="435" t="s">
        <v>472</v>
      </c>
      <c r="G116" s="435" t="s">
        <v>473</v>
      </c>
      <c r="J116" s="435" t="s">
        <v>472</v>
      </c>
      <c r="K116" s="435" t="s">
        <v>473</v>
      </c>
      <c r="N116" s="435" t="s">
        <v>472</v>
      </c>
      <c r="O116" s="435" t="s">
        <v>473</v>
      </c>
      <c r="R116" s="435" t="s">
        <v>472</v>
      </c>
      <c r="S116" s="435" t="s">
        <v>473</v>
      </c>
      <c r="V116" s="435" t="s">
        <v>472</v>
      </c>
      <c r="W116" s="435" t="s">
        <v>473</v>
      </c>
      <c r="Z116" s="649">
        <v>120.38</v>
      </c>
      <c r="AA116" s="649">
        <v>1.0959999999999999E-2</v>
      </c>
      <c r="AB116" s="649">
        <v>4.7200000000000002E-3</v>
      </c>
      <c r="AC116" s="649">
        <v>126</v>
      </c>
      <c r="AD116" s="649">
        <v>1.252E-2</v>
      </c>
      <c r="AE116" s="649">
        <v>5.3600000000000002E-3</v>
      </c>
      <c r="AG116" s="435" t="s">
        <v>472</v>
      </c>
      <c r="AH116" s="435" t="s">
        <v>473</v>
      </c>
      <c r="AK116" s="650" t="s">
        <v>472</v>
      </c>
      <c r="AL116" s="650" t="s">
        <v>473</v>
      </c>
      <c r="AM116" s="646"/>
    </row>
    <row r="117" spans="2:39">
      <c r="B117" s="651">
        <v>0.31580745449311648</v>
      </c>
      <c r="C117" s="652">
        <v>0.33389682920392716</v>
      </c>
      <c r="F117" s="651">
        <v>0.34875712199999997</v>
      </c>
      <c r="G117" s="652">
        <v>0.36219131399999999</v>
      </c>
      <c r="J117" s="651">
        <v>0.38731930351902627</v>
      </c>
      <c r="K117" s="652">
        <v>0.38719666957718074</v>
      </c>
      <c r="N117" s="651">
        <v>0.4135272368305723</v>
      </c>
      <c r="O117" s="652">
        <v>0.40049202596719324</v>
      </c>
      <c r="R117" s="651">
        <v>0.4388993527714305</v>
      </c>
      <c r="S117" s="652">
        <v>0.40987548289390291</v>
      </c>
      <c r="V117" s="651">
        <v>0.46188373300000002</v>
      </c>
      <c r="W117" s="652">
        <v>0.41631183300000002</v>
      </c>
      <c r="AG117" s="651">
        <v>0.31919432385418256</v>
      </c>
      <c r="AH117" s="652">
        <v>0.33939780329322006</v>
      </c>
      <c r="AK117" s="653">
        <v>0.31814575748852741</v>
      </c>
      <c r="AL117" s="654">
        <v>0.3376947153398786</v>
      </c>
      <c r="AM117" s="646"/>
    </row>
    <row r="118" spans="2:39" ht="14.25" thickBot="1">
      <c r="B118" s="655">
        <v>0.31576456503980521</v>
      </c>
      <c r="C118" s="656">
        <v>0.33392203905835177</v>
      </c>
      <c r="F118" s="655">
        <v>0.34870319100000002</v>
      </c>
      <c r="G118" s="656">
        <v>0.36222147900000001</v>
      </c>
      <c r="J118" s="655">
        <v>0.387261703342897</v>
      </c>
      <c r="K118" s="656">
        <v>0.38723675080143466</v>
      </c>
      <c r="N118" s="655">
        <v>0.41346826556018995</v>
      </c>
      <c r="O118" s="656">
        <v>0.40053469810343106</v>
      </c>
      <c r="R118" s="655">
        <v>0.43884159695468916</v>
      </c>
      <c r="S118" s="656">
        <v>0.40991714999905959</v>
      </c>
      <c r="V118" s="655">
        <v>0.46182274899999998</v>
      </c>
      <c r="W118" s="656">
        <v>0.41634961399999998</v>
      </c>
      <c r="Z118" s="435" t="s">
        <v>590</v>
      </c>
      <c r="AA118" s="435" t="s">
        <v>591</v>
      </c>
      <c r="AC118" s="435" t="s">
        <v>590</v>
      </c>
      <c r="AD118" s="435" t="s">
        <v>591</v>
      </c>
      <c r="AG118" s="655">
        <v>0.31909295874710064</v>
      </c>
      <c r="AH118" s="656">
        <v>0.33945786033510655</v>
      </c>
      <c r="AK118" s="657">
        <v>0.318074275066342</v>
      </c>
      <c r="AL118" s="658">
        <v>0.33773673176391961</v>
      </c>
      <c r="AM118" s="646"/>
    </row>
    <row r="119" spans="2:39">
      <c r="B119" s="655">
        <v>0.31572062024642084</v>
      </c>
      <c r="C119" s="656">
        <v>0.33394550592424854</v>
      </c>
      <c r="F119" s="655">
        <v>0.34864801000000001</v>
      </c>
      <c r="G119" s="656">
        <v>0.36224947400000002</v>
      </c>
      <c r="J119" s="655">
        <v>0.38720243947902072</v>
      </c>
      <c r="K119" s="656">
        <v>0.38727450579741557</v>
      </c>
      <c r="N119" s="655">
        <v>0.41340756768120823</v>
      </c>
      <c r="O119" s="656">
        <v>0.40057504463666754</v>
      </c>
      <c r="R119" s="655">
        <v>0.4387823358796451</v>
      </c>
      <c r="S119" s="656">
        <v>0.40995677099525607</v>
      </c>
      <c r="V119" s="655">
        <v>0.46176050800000001</v>
      </c>
      <c r="W119" s="656">
        <v>0.41638539899999999</v>
      </c>
      <c r="Z119" s="651">
        <v>0.34747141497258321</v>
      </c>
      <c r="AA119" s="652">
        <v>0.36002754260157871</v>
      </c>
      <c r="AC119" s="651">
        <v>0.38547953567935084</v>
      </c>
      <c r="AD119" s="652">
        <v>0.38476444638478713</v>
      </c>
      <c r="AG119" s="655">
        <v>0.31898952443897949</v>
      </c>
      <c r="AH119" s="656">
        <v>0.33951448812367763</v>
      </c>
      <c r="AK119" s="657">
        <v>0.31800103374403466</v>
      </c>
      <c r="AL119" s="658">
        <v>0.33777584320708093</v>
      </c>
      <c r="AM119" s="646"/>
    </row>
    <row r="120" spans="2:39">
      <c r="B120" s="655">
        <v>0.3156756334989731</v>
      </c>
      <c r="C120" s="656">
        <v>0.33396722265338286</v>
      </c>
      <c r="F120" s="655">
        <v>0.34859159499999998</v>
      </c>
      <c r="G120" s="656">
        <v>0.36227529200000003</v>
      </c>
      <c r="J120" s="655">
        <v>0.38714152997974455</v>
      </c>
      <c r="K120" s="656">
        <v>0.387309923064586</v>
      </c>
      <c r="N120" s="655">
        <v>0.41334516168278912</v>
      </c>
      <c r="O120" s="656">
        <v>0.4006130532769579</v>
      </c>
      <c r="R120" s="655">
        <v>0.43872158759779589</v>
      </c>
      <c r="S120" s="656">
        <v>0.40999433381355305</v>
      </c>
      <c r="V120" s="655">
        <v>0.46169703099999998</v>
      </c>
      <c r="W120" s="656">
        <v>0.41641917899999997</v>
      </c>
      <c r="Z120" s="655">
        <v>0.34743546066316283</v>
      </c>
      <c r="AA120" s="656">
        <v>0.36004765252846743</v>
      </c>
      <c r="AC120" s="655">
        <v>0.38544113556193133</v>
      </c>
      <c r="AD120" s="656">
        <v>0.38479116720095641</v>
      </c>
      <c r="AG120" s="655">
        <v>0.31888405243691131</v>
      </c>
      <c r="AH120" s="656">
        <v>0.33956766940956035</v>
      </c>
      <c r="AK120" s="657">
        <v>0.31792605583162181</v>
      </c>
      <c r="AL120" s="658">
        <v>0.33781203775563812</v>
      </c>
      <c r="AM120" s="646"/>
    </row>
    <row r="121" spans="2:39">
      <c r="B121" s="655">
        <v>0.31562961850086108</v>
      </c>
      <c r="C121" s="656">
        <v>0.3339871826306286</v>
      </c>
      <c r="F121" s="655">
        <v>0.348533965</v>
      </c>
      <c r="G121" s="656">
        <v>0.36229892400000002</v>
      </c>
      <c r="J121" s="655">
        <v>0.38707899339869195</v>
      </c>
      <c r="K121" s="656">
        <v>0.38734299181450327</v>
      </c>
      <c r="N121" s="655">
        <v>0.41328106657440422</v>
      </c>
      <c r="O121" s="656">
        <v>0.40064871244650208</v>
      </c>
      <c r="R121" s="655">
        <v>0.43865937061365656</v>
      </c>
      <c r="S121" s="656">
        <v>0.41002982701195229</v>
      </c>
      <c r="V121" s="655">
        <v>0.46163233599999998</v>
      </c>
      <c r="W121" s="656">
        <v>0.41645094199999999</v>
      </c>
      <c r="Z121" s="655">
        <v>0.34739867310592548</v>
      </c>
      <c r="AA121" s="656">
        <v>0.36006631627440439</v>
      </c>
      <c r="AC121" s="655">
        <v>0.38540162631934716</v>
      </c>
      <c r="AD121" s="656">
        <v>0.38481633719827707</v>
      </c>
      <c r="AG121" s="655">
        <v>0.31877657486868971</v>
      </c>
      <c r="AH121" s="656">
        <v>0.33961738799321983</v>
      </c>
      <c r="AK121" s="657">
        <v>0.31784936416810178</v>
      </c>
      <c r="AL121" s="658">
        <v>0.33784530438438098</v>
      </c>
      <c r="AM121" s="646"/>
    </row>
    <row r="122" spans="2:39">
      <c r="B122" s="655">
        <v>0.31558258926869892</v>
      </c>
      <c r="C122" s="656">
        <v>0.33400537977598338</v>
      </c>
      <c r="F122" s="655">
        <v>0.34847513600000002</v>
      </c>
      <c r="G122" s="656">
        <v>0.36232036400000001</v>
      </c>
      <c r="J122" s="655">
        <v>0.38701484878511139</v>
      </c>
      <c r="K122" s="656">
        <v>0.38737370197410581</v>
      </c>
      <c r="N122" s="655">
        <v>0.41321530188004452</v>
      </c>
      <c r="O122" s="656">
        <v>0.40068201128317155</v>
      </c>
      <c r="R122" s="655">
        <v>0.43859570387912328</v>
      </c>
      <c r="S122" s="656">
        <v>0.41006323977888165</v>
      </c>
      <c r="V122" s="655">
        <v>0.46156644299999999</v>
      </c>
      <c r="W122" s="656">
        <v>0.41648067900000002</v>
      </c>
      <c r="Z122" s="655">
        <v>0.34736106350671742</v>
      </c>
      <c r="AA122" s="656">
        <v>0.36008352815423189</v>
      </c>
      <c r="AC122" s="655">
        <v>0.38536101998649636</v>
      </c>
      <c r="AD122" s="656">
        <v>0.38483994870972399</v>
      </c>
      <c r="AG122" s="655">
        <v>0.31866712447302314</v>
      </c>
      <c r="AH122" s="656">
        <v>0.33966362872989381</v>
      </c>
      <c r="AK122" s="657">
        <v>0.31777098211449822</v>
      </c>
      <c r="AL122" s="658">
        <v>0.33787563295997225</v>
      </c>
      <c r="AM122" s="646"/>
    </row>
    <row r="123" spans="2:39">
      <c r="B123" s="655">
        <v>0.31553456012804643</v>
      </c>
      <c r="C123" s="656">
        <v>0.33402180854642038</v>
      </c>
      <c r="F123" s="655">
        <v>0.34841512699999999</v>
      </c>
      <c r="G123" s="656">
        <v>0.36233960399999998</v>
      </c>
      <c r="J123" s="655">
        <v>0.3869491156780735</v>
      </c>
      <c r="K123" s="656">
        <v>0.38740204418878144</v>
      </c>
      <c r="N123" s="655">
        <v>0.41314788763227289</v>
      </c>
      <c r="O123" s="656">
        <v>0.40071293964381816</v>
      </c>
      <c r="R123" s="655">
        <v>0.43853060678770012</v>
      </c>
      <c r="S123" s="656">
        <v>0.41009456193648863</v>
      </c>
      <c r="V123" s="655">
        <v>0.46149937200000002</v>
      </c>
      <c r="W123" s="656">
        <v>0.41650838099999998</v>
      </c>
      <c r="Z123" s="655">
        <v>0.34732264332178686</v>
      </c>
      <c r="AA123" s="656">
        <v>0.36009928292504451</v>
      </c>
      <c r="AC123" s="655">
        <v>0.38531932893246129</v>
      </c>
      <c r="AD123" s="656">
        <v>0.38486199454300218</v>
      </c>
      <c r="AG123" s="655">
        <v>0.31855573458956238</v>
      </c>
      <c r="AH123" s="656">
        <v>0.33970637753420607</v>
      </c>
      <c r="AK123" s="657">
        <v>0.31769093354674405</v>
      </c>
      <c r="AL123" s="658">
        <v>0.33790301424403396</v>
      </c>
      <c r="AM123" s="646"/>
    </row>
    <row r="124" spans="2:39">
      <c r="B124" s="655">
        <v>0.31548554570904502</v>
      </c>
      <c r="C124" s="656">
        <v>0.33403646393757702</v>
      </c>
      <c r="F124" s="655">
        <v>0.34835395600000002</v>
      </c>
      <c r="G124" s="656">
        <v>0.36235663800000001</v>
      </c>
      <c r="J124" s="655">
        <v>0.38688181410051947</v>
      </c>
      <c r="K124" s="656">
        <v>0.38742800982521713</v>
      </c>
      <c r="N124" s="655">
        <v>0.41307884436612236</v>
      </c>
      <c r="O124" s="656">
        <v>0.40074148810736365</v>
      </c>
      <c r="R124" s="655">
        <v>0.43846409916859175</v>
      </c>
      <c r="S124" s="656">
        <v>0.41012378394374072</v>
      </c>
      <c r="V124" s="655">
        <v>0.46143114499999999</v>
      </c>
      <c r="W124" s="656">
        <v>0.41653403999999999</v>
      </c>
      <c r="Z124" s="655">
        <v>0.34728342425429443</v>
      </c>
      <c r="AA124" s="656">
        <v>0.36011357578778647</v>
      </c>
      <c r="AC124" s="655">
        <v>0.38527656585674092</v>
      </c>
      <c r="AD124" s="656">
        <v>0.38488246798273718</v>
      </c>
      <c r="AG124" s="655">
        <v>0.31844243914874493</v>
      </c>
      <c r="AH124" s="656">
        <v>0.33974562138445658</v>
      </c>
      <c r="AK124" s="657">
        <v>0.31760924284840836</v>
      </c>
      <c r="AL124" s="658">
        <v>0.33792743989596169</v>
      </c>
      <c r="AM124" s="646"/>
    </row>
    <row r="125" spans="2:39">
      <c r="B125" s="655">
        <v>0.31543556094196157</v>
      </c>
      <c r="C125" s="656">
        <v>0.33404934148527921</v>
      </c>
      <c r="F125" s="655">
        <v>0.34829164200000001</v>
      </c>
      <c r="G125" s="656">
        <v>0.36237146199999998</v>
      </c>
      <c r="J125" s="655">
        <v>0.38681296455316178</v>
      </c>
      <c r="K125" s="656">
        <v>0.38745159097402837</v>
      </c>
      <c r="N125" s="655">
        <v>0.41300819311284059</v>
      </c>
      <c r="O125" s="656">
        <v>0.40076764797766939</v>
      </c>
      <c r="R125" s="655">
        <v>0.43839620128066314</v>
      </c>
      <c r="S125" s="656">
        <v>0.41015089689933126</v>
      </c>
      <c r="V125" s="655">
        <v>0.46136178</v>
      </c>
      <c r="W125" s="656">
        <v>0.41655764699999998</v>
      </c>
      <c r="Z125" s="655">
        <v>0.34724341825074789</v>
      </c>
      <c r="AA125" s="656">
        <v>0.3601264023887133</v>
      </c>
      <c r="AC125" s="655">
        <v>0.3852327437853823</v>
      </c>
      <c r="AD125" s="656">
        <v>0.38490136279252096</v>
      </c>
      <c r="AG125" s="655">
        <v>0.31832727266145966</v>
      </c>
      <c r="AH125" s="656">
        <v>0.33978134832658846</v>
      </c>
      <c r="AK125" s="657">
        <v>0.31752593490326925</v>
      </c>
      <c r="AL125" s="658">
        <v>0.33794890247546533</v>
      </c>
      <c r="AM125" s="646"/>
    </row>
    <row r="126" spans="2:39">
      <c r="B126" s="655">
        <v>0.31538462105264031</v>
      </c>
      <c r="C126" s="656">
        <v>0.3340604372669011</v>
      </c>
      <c r="F126" s="655">
        <v>0.34822820199999999</v>
      </c>
      <c r="G126" s="656">
        <v>0.362384072</v>
      </c>
      <c r="J126" s="655">
        <v>0.38674258800823952</v>
      </c>
      <c r="K126" s="656">
        <v>0.38747278045216887</v>
      </c>
      <c r="N126" s="655">
        <v>0.41293595539348371</v>
      </c>
      <c r="O126" s="656">
        <v>0.40079141128618551</v>
      </c>
      <c r="R126" s="655">
        <v>0.4383269338062688</v>
      </c>
      <c r="S126" s="656">
        <v>0.41017589254439146</v>
      </c>
      <c r="V126" s="655">
        <v>0.46129130000000002</v>
      </c>
      <c r="W126" s="656">
        <v>0.41657919599999998</v>
      </c>
      <c r="Z126" s="655">
        <v>0.34720263749736358</v>
      </c>
      <c r="AA126" s="656">
        <v>0.36013775882071808</v>
      </c>
      <c r="AC126" s="655">
        <v>0.38518787606701299</v>
      </c>
      <c r="AD126" s="656">
        <v>0.38491867321681139</v>
      </c>
      <c r="AG126" s="655">
        <v>0.31821027020853421</v>
      </c>
      <c r="AH126" s="656">
        <v>0.33981354747782899</v>
      </c>
      <c r="AK126" s="657">
        <v>0.31744103508773386</v>
      </c>
      <c r="AL126" s="658">
        <v>0.33796739544483517</v>
      </c>
      <c r="AM126" s="646"/>
    </row>
    <row r="127" spans="2:39">
      <c r="B127" s="655">
        <v>0.31533274155786506</v>
      </c>
      <c r="C127" s="656">
        <v>0.33406974790256017</v>
      </c>
      <c r="F127" s="655">
        <v>0.34816365799999999</v>
      </c>
      <c r="G127" s="656">
        <v>0.36239446199999997</v>
      </c>
      <c r="J127" s="655">
        <v>0.38667070590313002</v>
      </c>
      <c r="K127" s="656">
        <v>0.38749157180511834</v>
      </c>
      <c r="N127" s="655">
        <v>0.41286215321236092</v>
      </c>
      <c r="O127" s="656">
        <v>0.40081277079437805</v>
      </c>
      <c r="R127" s="655">
        <v>0.43825631784495239</v>
      </c>
      <c r="S127" s="656">
        <v>0.41019876326500559</v>
      </c>
      <c r="V127" s="655">
        <v>0.46121972700000002</v>
      </c>
      <c r="W127" s="656">
        <v>0.41659868</v>
      </c>
      <c r="Z127" s="655">
        <v>0.34716109441635395</v>
      </c>
      <c r="AA127" s="656">
        <v>0.36014764162452173</v>
      </c>
      <c r="AC127" s="655">
        <v>0.38514197636877451</v>
      </c>
      <c r="AD127" s="656">
        <v>0.38493439398268559</v>
      </c>
      <c r="AG127" s="655">
        <v>0.31809146743004918</v>
      </c>
      <c r="AH127" s="656">
        <v>0.33984220903000484</v>
      </c>
      <c r="AK127" s="657">
        <v>0.3173545692631084</v>
      </c>
      <c r="AL127" s="658">
        <v>0.33798291317093365</v>
      </c>
      <c r="AM127" s="646"/>
    </row>
    <row r="128" spans="2:39">
      <c r="B128" s="655">
        <v>0.31527993826063244</v>
      </c>
      <c r="C128" s="656">
        <v>0.33407727055614661</v>
      </c>
      <c r="F128" s="655">
        <v>0.348098028</v>
      </c>
      <c r="G128" s="656">
        <v>0.36240263099999998</v>
      </c>
      <c r="J128" s="655">
        <v>0.38659734013381886</v>
      </c>
      <c r="K128" s="656">
        <v>0.38750795930884852</v>
      </c>
      <c r="N128" s="655">
        <v>0.41278680905033144</v>
      </c>
      <c r="O128" s="656">
        <v>0.40083171999593392</v>
      </c>
      <c r="R128" s="655">
        <v>0.43818437490701984</v>
      </c>
      <c r="S128" s="656">
        <v>0.41021950209453073</v>
      </c>
      <c r="V128" s="655">
        <v>0.46114708100000001</v>
      </c>
      <c r="W128" s="656">
        <v>0.41661609300000002</v>
      </c>
      <c r="Z128" s="655">
        <v>0.34711880166214398</v>
      </c>
      <c r="AA128" s="656">
        <v>0.36015604778972632</v>
      </c>
      <c r="AC128" s="655">
        <v>0.38509505867215965</v>
      </c>
      <c r="AD128" s="656">
        <v>0.38494852030144588</v>
      </c>
      <c r="AG128" s="655">
        <v>0.31797090051448174</v>
      </c>
      <c r="AH128" s="656">
        <v>0.33986732425252952</v>
      </c>
      <c r="AK128" s="657">
        <v>0.31726656376772067</v>
      </c>
      <c r="AL128" s="658">
        <v>0.33799545092691102</v>
      </c>
      <c r="AM128" s="646"/>
    </row>
    <row r="129" spans="2:39">
      <c r="B129" s="655">
        <v>0.31522622724533828</v>
      </c>
      <c r="C129" s="656">
        <v>0.33408300293618726</v>
      </c>
      <c r="F129" s="655">
        <v>0.348031333</v>
      </c>
      <c r="G129" s="656">
        <v>0.36240857500000001</v>
      </c>
      <c r="J129" s="655">
        <v>0.38652251304823004</v>
      </c>
      <c r="K129" s="656">
        <v>0.38752193797156714</v>
      </c>
      <c r="N129" s="655">
        <v>0.41270994585795689</v>
      </c>
      <c r="O129" s="656">
        <v>0.40084825311874267</v>
      </c>
      <c r="R129" s="655">
        <v>0.43811112690698695</v>
      </c>
      <c r="S129" s="656">
        <v>0.41023810271571842</v>
      </c>
      <c r="V129" s="655">
        <v>0.461073385</v>
      </c>
      <c r="W129" s="656">
        <v>0.41663143000000002</v>
      </c>
      <c r="Z129" s="655">
        <v>0.34707577211751622</v>
      </c>
      <c r="AA129" s="656">
        <v>0.36016297475573261</v>
      </c>
      <c r="AC129" s="655">
        <v>0.38504713726875334</v>
      </c>
      <c r="AD129" s="656">
        <v>0.38496104787007884</v>
      </c>
      <c r="AG129" s="655">
        <v>0.31784860618768229</v>
      </c>
      <c r="AH129" s="656">
        <v>0.33988888549506302</v>
      </c>
      <c r="AK129" s="657">
        <v>0.31717704540889713</v>
      </c>
      <c r="AL129" s="658">
        <v>0.33800500489364543</v>
      </c>
      <c r="AM129" s="646"/>
    </row>
    <row r="130" spans="2:39">
      <c r="B130" s="655">
        <v>0.31517162487287825</v>
      </c>
      <c r="C130" s="656">
        <v>0.33408694329654359</v>
      </c>
      <c r="F130" s="655">
        <v>0.34796359199999999</v>
      </c>
      <c r="G130" s="656">
        <v>0.36241229200000002</v>
      </c>
      <c r="J130" s="655">
        <v>0.38644624743941869</v>
      </c>
      <c r="K130" s="656">
        <v>0.38753350353523813</v>
      </c>
      <c r="N130" s="655">
        <v>0.41263158704851033</v>
      </c>
      <c r="O130" s="656">
        <v>0.40086236512665507</v>
      </c>
      <c r="R130" s="655">
        <v>0.43803659615690405</v>
      </c>
      <c r="S130" s="656">
        <v>0.41025455946263922</v>
      </c>
      <c r="V130" s="655">
        <v>0.46099866099999998</v>
      </c>
      <c r="W130" s="656">
        <v>0.41664468599999999</v>
      </c>
      <c r="Z130" s="655">
        <v>0.34703201888968688</v>
      </c>
      <c r="AA130" s="656">
        <v>0.36016842041251956</v>
      </c>
      <c r="AC130" s="655">
        <v>0.38499822675587919</v>
      </c>
      <c r="AD130" s="656">
        <v>0.38497197287256568</v>
      </c>
      <c r="AG130" s="655">
        <v>0.31772462170168758</v>
      </c>
      <c r="AH130" s="656">
        <v>0.33990688618984188</v>
      </c>
      <c r="AK130" s="657">
        <v>0.31708604145479707</v>
      </c>
      <c r="AL130" s="658">
        <v>0.33801157216090599</v>
      </c>
      <c r="AM130" s="646"/>
    </row>
    <row r="131" spans="2:39">
      <c r="B131" s="655">
        <v>0.31511614777566388</v>
      </c>
      <c r="C131" s="656">
        <v>0.33408909043694374</v>
      </c>
      <c r="F131" s="655">
        <v>0.34789482700000002</v>
      </c>
      <c r="G131" s="656">
        <v>0.36241378299999999</v>
      </c>
      <c r="J131" s="655">
        <v>0.38636856653862811</v>
      </c>
      <c r="K131" s="656">
        <v>0.38754265247687864</v>
      </c>
      <c r="N131" s="655">
        <v>0.41255175649084413</v>
      </c>
      <c r="O131" s="656">
        <v>0.4008740517210167</v>
      </c>
      <c r="R131" s="655">
        <v>0.43796080535955961</v>
      </c>
      <c r="S131" s="656">
        <v>0.41026886732240869</v>
      </c>
      <c r="V131" s="655">
        <v>0.46092293299999998</v>
      </c>
      <c r="W131" s="656">
        <v>0.41665585700000002</v>
      </c>
      <c r="Z131" s="655">
        <v>0.34698755530631292</v>
      </c>
      <c r="AA131" s="656">
        <v>0.36017238310128746</v>
      </c>
      <c r="AC131" s="655">
        <v>0.38494834203215333</v>
      </c>
      <c r="AD131" s="656">
        <v>0.38498129198104475</v>
      </c>
      <c r="AG131" s="655">
        <v>0.31759898482337301</v>
      </c>
      <c r="AH131" s="656">
        <v>0.33992132085368021</v>
      </c>
      <c r="AK131" s="657">
        <v>0.31699357962610641</v>
      </c>
      <c r="AL131" s="658">
        <v>0.33801515072823951</v>
      </c>
      <c r="AM131" s="646"/>
    </row>
    <row r="132" spans="2:39">
      <c r="B132" s="655">
        <v>0.31505981285255635</v>
      </c>
      <c r="C132" s="656">
        <v>0.33408944370334787</v>
      </c>
      <c r="F132" s="655">
        <v>0.34782505800000002</v>
      </c>
      <c r="G132" s="656">
        <v>0.36241304499999999</v>
      </c>
      <c r="J132" s="655">
        <v>0.38628949400821316</v>
      </c>
      <c r="K132" s="656">
        <v>0.38754938200963257</v>
      </c>
      <c r="N132" s="655">
        <v>0.41247047850211954</v>
      </c>
      <c r="O132" s="656">
        <v>0.40088330934197769</v>
      </c>
      <c r="R132" s="655">
        <v>0.43788377760156483</v>
      </c>
      <c r="S132" s="656">
        <v>0.41028102193671412</v>
      </c>
      <c r="V132" s="655">
        <v>0.460846223</v>
      </c>
      <c r="W132" s="656">
        <v>0.41666493900000001</v>
      </c>
      <c r="Z132" s="655">
        <v>0.34694239491143264</v>
      </c>
      <c r="AA132" s="656">
        <v>0.36017486161496287</v>
      </c>
      <c r="AC132" s="655">
        <v>0.38489749829294578</v>
      </c>
      <c r="AD132" s="656">
        <v>0.38498900235682537</v>
      </c>
      <c r="AG132" s="655">
        <v>0.31747173382294885</v>
      </c>
      <c r="AH132" s="656">
        <v>0.33993218508963952</v>
      </c>
      <c r="AK132" s="657">
        <v>0.31689968808759394</v>
      </c>
      <c r="AL132" s="658">
        <v>0.33801573950557973</v>
      </c>
      <c r="AM132" s="646"/>
    </row>
    <row r="133" spans="2:39">
      <c r="B133" s="655">
        <v>0.31500263726371908</v>
      </c>
      <c r="C133" s="656">
        <v>0.33408800298814761</v>
      </c>
      <c r="F133" s="655">
        <v>0.34775430699999998</v>
      </c>
      <c r="G133" s="656">
        <v>0.36241008000000002</v>
      </c>
      <c r="J133" s="655">
        <v>0.38620905393443261</v>
      </c>
      <c r="K133" s="656">
        <v>0.3875536900836189</v>
      </c>
      <c r="N133" s="655">
        <v>0.41238777784039926</v>
      </c>
      <c r="O133" s="656">
        <v>0.40089013516957711</v>
      </c>
      <c r="R133" s="655">
        <v>0.43780553634632086</v>
      </c>
      <c r="S133" s="656">
        <v>0.41029101960314218</v>
      </c>
      <c r="V133" s="655">
        <v>0.460768554</v>
      </c>
      <c r="W133" s="656">
        <v>0.416671931</v>
      </c>
      <c r="Z133" s="655">
        <v>0.34689655146133974</v>
      </c>
      <c r="AA133" s="656">
        <v>0.36017585519856649</v>
      </c>
      <c r="AC133" s="655">
        <v>0.38484571102575205</v>
      </c>
      <c r="AD133" s="656">
        <v>0.38499510165125245</v>
      </c>
      <c r="AG133" s="655">
        <v>0.31734290746230248</v>
      </c>
      <c r="AH133" s="656">
        <v>0.33993947558836829</v>
      </c>
      <c r="AK133" s="657">
        <v>0.31680439543953182</v>
      </c>
      <c r="AL133" s="658">
        <v>0.33801333831357933</v>
      </c>
      <c r="AM133" s="646"/>
    </row>
    <row r="134" spans="2:39">
      <c r="B134" s="655">
        <v>0.31494463842539022</v>
      </c>
      <c r="C134" s="656">
        <v>0.33408476873019882</v>
      </c>
      <c r="F134" s="655">
        <v>0.34768259499999998</v>
      </c>
      <c r="G134" s="656">
        <v>0.36240488799999998</v>
      </c>
      <c r="J134" s="655">
        <v>0.38612727082011217</v>
      </c>
      <c r="K134" s="656">
        <v>0.38755557538655666</v>
      </c>
      <c r="N134" s="655">
        <v>0.41230367969710602</v>
      </c>
      <c r="O134" s="656">
        <v>0.40089452712460166</v>
      </c>
      <c r="R134" s="655">
        <v>0.43772610542687201</v>
      </c>
      <c r="S134" s="656">
        <v>0.41029885727630688</v>
      </c>
      <c r="V134" s="655">
        <v>0.46068995099999999</v>
      </c>
      <c r="W134" s="656">
        <v>0.41667682900000003</v>
      </c>
      <c r="Z134" s="655">
        <v>0.34685003892039329</v>
      </c>
      <c r="AA134" s="656">
        <v>0.36017536354944318</v>
      </c>
      <c r="AC134" s="655">
        <v>0.38479299600547545</v>
      </c>
      <c r="AD134" s="656">
        <v>0.3849995880064217</v>
      </c>
      <c r="AG134" s="655">
        <v>0.3172125449831914</v>
      </c>
      <c r="AH134" s="656">
        <v>0.33994319012911001</v>
      </c>
      <c r="AK134" s="657">
        <v>0.31670773070898373</v>
      </c>
      <c r="AL134" s="658">
        <v>0.33800794788366467</v>
      </c>
      <c r="AM134" s="646"/>
    </row>
    <row r="135" spans="2:39">
      <c r="B135" s="655">
        <v>0.31488583400457781</v>
      </c>
      <c r="C135" s="656">
        <v>0.33407974191468776</v>
      </c>
      <c r="F135" s="655">
        <v>0.347609944</v>
      </c>
      <c r="G135" s="656">
        <v>0.36239747100000003</v>
      </c>
      <c r="J135" s="655">
        <v>0.38604416957718074</v>
      </c>
      <c r="K135" s="656">
        <v>0.3875550373441643</v>
      </c>
      <c r="N135" s="655">
        <v>0.41221820968934886</v>
      </c>
      <c r="O135" s="656">
        <v>0.40089648386921939</v>
      </c>
      <c r="R135" s="655">
        <v>0.4376455090386458</v>
      </c>
      <c r="S135" s="656">
        <v>0.41030453256877708</v>
      </c>
      <c r="V135" s="655">
        <v>0.46061043699999998</v>
      </c>
      <c r="W135" s="656">
        <v>0.41667963200000002</v>
      </c>
      <c r="Z135" s="655">
        <v>0.34680287145676375</v>
      </c>
      <c r="AA135" s="656">
        <v>0.360173386817354</v>
      </c>
      <c r="AC135" s="655">
        <v>0.38473936928962177</v>
      </c>
      <c r="AD135" s="656">
        <v>0.3850024600557459</v>
      </c>
      <c r="AG135" s="655">
        <v>0.3170806860952895</v>
      </c>
      <c r="AH135" s="656">
        <v>0.33994332758037954</v>
      </c>
      <c r="AK135" s="657">
        <v>0.31660972334096305</v>
      </c>
      <c r="AL135" s="658">
        <v>0.33799956985781293</v>
      </c>
      <c r="AM135" s="646"/>
    </row>
    <row r="136" spans="2:39">
      <c r="B136" s="655">
        <v>0.31482624191367808</v>
      </c>
      <c r="C136" s="656">
        <v>0.33407292407283118</v>
      </c>
      <c r="F136" s="655">
        <v>0.34753637599999998</v>
      </c>
      <c r="G136" s="656">
        <v>0.36238783200000002</v>
      </c>
      <c r="J136" s="655">
        <v>0.38595977551908189</v>
      </c>
      <c r="K136" s="656">
        <v>0.38755207612033471</v>
      </c>
      <c r="N136" s="655">
        <v>0.41213139385212022</v>
      </c>
      <c r="O136" s="656">
        <v>0.40089600480738685</v>
      </c>
      <c r="R136" s="655">
        <v>0.43756377173208288</v>
      </c>
      <c r="S136" s="656">
        <v>0.41030804375180363</v>
      </c>
      <c r="V136" s="655">
        <v>0.460530037</v>
      </c>
      <c r="W136" s="656">
        <v>0.41668033999999998</v>
      </c>
      <c r="Z136" s="655">
        <v>0.34675506343811752</v>
      </c>
      <c r="AA136" s="656">
        <v>0.36016992560443073</v>
      </c>
      <c r="AC136" s="655">
        <v>0.38468484721340812</v>
      </c>
      <c r="AD136" s="656">
        <v>0.38500371692437108</v>
      </c>
      <c r="AG136" s="655">
        <v>0.31694737096409148</v>
      </c>
      <c r="AH136" s="656">
        <v>0.33993988790030788</v>
      </c>
      <c r="AK136" s="657">
        <v>0.31651040318946344</v>
      </c>
      <c r="AL136" s="658">
        <v>0.33798820678805191</v>
      </c>
      <c r="AM136" s="646"/>
    </row>
    <row r="137" spans="2:39">
      <c r="B137" s="655">
        <v>0.31476588030501917</v>
      </c>
      <c r="C137" s="656">
        <v>0.33406431728140967</v>
      </c>
      <c r="F137" s="655">
        <v>0.34746191399999998</v>
      </c>
      <c r="G137" s="656">
        <v>0.36237597199999999</v>
      </c>
      <c r="J137" s="655">
        <v>0.38587411435306324</v>
      </c>
      <c r="K137" s="656">
        <v>0.38754669261708535</v>
      </c>
      <c r="N137" s="655">
        <v>0.41204325863036506</v>
      </c>
      <c r="O137" s="656">
        <v>0.40089309008503093</v>
      </c>
      <c r="R137" s="655">
        <v>0.43748091840515863</v>
      </c>
      <c r="S137" s="656">
        <v>0.41030938975584624</v>
      </c>
      <c r="V137" s="655">
        <v>0.46044877499999998</v>
      </c>
      <c r="W137" s="656">
        <v>0.41667895199999999</v>
      </c>
      <c r="Z137" s="655">
        <v>0.34670662942724023</v>
      </c>
      <c r="AA137" s="656">
        <v>0.36016498096499228</v>
      </c>
      <c r="AC137" s="655">
        <v>0.38462944638478713</v>
      </c>
      <c r="AD137" s="656">
        <v>0.38500335822944287</v>
      </c>
      <c r="AG137" s="655">
        <v>0.31681264019867766</v>
      </c>
      <c r="AH137" s="656">
        <v>0.33993287213665502</v>
      </c>
      <c r="AK137" s="657">
        <v>0.31640980050836526</v>
      </c>
      <c r="AL137" s="658">
        <v>0.33797386213568281</v>
      </c>
      <c r="AM137" s="646"/>
    </row>
    <row r="138" spans="2:39">
      <c r="B138" s="655">
        <v>0.31470476756533183</v>
      </c>
      <c r="C138" s="656">
        <v>0.33405392416213536</v>
      </c>
      <c r="F138" s="655">
        <v>0.34738658</v>
      </c>
      <c r="G138" s="656">
        <v>0.36236189600000002</v>
      </c>
      <c r="J138" s="655">
        <v>0.38578721217234585</v>
      </c>
      <c r="K138" s="656">
        <v>0.38753888847428353</v>
      </c>
      <c r="N138" s="655">
        <v>0.41195383087092569</v>
      </c>
      <c r="O138" s="656">
        <v>0.40088774059000432</v>
      </c>
      <c r="R138" s="655">
        <v>0.43739697429579905</v>
      </c>
      <c r="S138" s="656">
        <v>0.410308570170899</v>
      </c>
      <c r="V138" s="655">
        <v>0.460366675</v>
      </c>
      <c r="W138" s="656">
        <v>0.41667546900000002</v>
      </c>
      <c r="Z138" s="655">
        <v>0.34665758417760073</v>
      </c>
      <c r="AA138" s="656">
        <v>0.36015855440522376</v>
      </c>
      <c r="AC138" s="655">
        <v>0.38457318367938792</v>
      </c>
      <c r="AD138" s="656">
        <v>0.38500138408022311</v>
      </c>
      <c r="AG138" s="655">
        <v>0.31667653483934438</v>
      </c>
      <c r="AH138" s="656">
        <v>0.33992228242649036</v>
      </c>
      <c r="AK138" s="657">
        <v>0.31630794594221973</v>
      </c>
      <c r="AL138" s="658">
        <v>0.33795654027022565</v>
      </c>
      <c r="AM138" s="646"/>
    </row>
    <row r="139" spans="2:39">
      <c r="B139" s="655">
        <v>0.31464292231014862</v>
      </c>
      <c r="C139" s="656">
        <v>0.33404174788085306</v>
      </c>
      <c r="F139" s="655">
        <v>0.34731039699999999</v>
      </c>
      <c r="G139" s="656">
        <v>0.36234560799999999</v>
      </c>
      <c r="J139" s="655">
        <v>0.38569909544817577</v>
      </c>
      <c r="K139" s="656">
        <v>0.38752866606914671</v>
      </c>
      <c r="N139" s="655">
        <v>0.41186313781436401</v>
      </c>
      <c r="O139" s="656">
        <v>0.40087995795181497</v>
      </c>
      <c r="R139" s="655">
        <v>0.43731196497419295</v>
      </c>
      <c r="S139" s="656">
        <v>0.41030558524661548</v>
      </c>
      <c r="V139" s="655">
        <v>0.46028376300000001</v>
      </c>
      <c r="W139" s="656">
        <v>0.41666989100000001</v>
      </c>
      <c r="Z139" s="655">
        <v>0.34660794262885719</v>
      </c>
      <c r="AA139" s="656">
        <v>0.3601506478827175</v>
      </c>
      <c r="AC139" s="655">
        <v>0.38451607623537548</v>
      </c>
      <c r="AD139" s="656">
        <v>0.38499779507805693</v>
      </c>
      <c r="AG139" s="655">
        <v>0.31653909634510263</v>
      </c>
      <c r="AH139" s="656">
        <v>0.33990812199554238</v>
      </c>
      <c r="AK139" s="657">
        <v>0.31620487051691432</v>
      </c>
      <c r="AL139" s="658">
        <v>0.3379362464680884</v>
      </c>
      <c r="AM139" s="646"/>
    </row>
    <row r="140" spans="2:39">
      <c r="B140" s="655">
        <v>0.31458036337813328</v>
      </c>
      <c r="C140" s="656">
        <v>0.33402779214657591</v>
      </c>
      <c r="F140" s="655">
        <v>0.34723338799999998</v>
      </c>
      <c r="G140" s="656">
        <v>0.36232711200000001</v>
      </c>
      <c r="J140" s="655">
        <v>0.38560979102176074</v>
      </c>
      <c r="K140" s="656">
        <v>0.38751602851551847</v>
      </c>
      <c r="N140" s="655">
        <v>0.41177120708666354</v>
      </c>
      <c r="O140" s="656">
        <v>0.40086974454112995</v>
      </c>
      <c r="R140" s="655">
        <v>0.4372259163350033</v>
      </c>
      <c r="S140" s="656">
        <v>0.41030043589223247</v>
      </c>
      <c r="V140" s="655">
        <v>0.46020006299999999</v>
      </c>
      <c r="W140" s="656">
        <v>0.416662221</v>
      </c>
      <c r="Z140" s="655">
        <v>0.34655771990230622</v>
      </c>
      <c r="AA140" s="656">
        <v>0.36014126380587697</v>
      </c>
      <c r="AC140" s="655">
        <v>0.38445814144823054</v>
      </c>
      <c r="AD140" s="656">
        <v>0.38499259231618904</v>
      </c>
      <c r="AG140" s="655">
        <v>0.31640036658104909</v>
      </c>
      <c r="AH140" s="656">
        <v>0.33989039515721536</v>
      </c>
      <c r="AK140" s="657">
        <v>0.31610060563022213</v>
      </c>
      <c r="AL140" s="658">
        <v>0.33791298691095983</v>
      </c>
      <c r="AM140" s="646"/>
    </row>
    <row r="141" spans="2:39">
      <c r="B141" s="655">
        <v>0.31451710982534264</v>
      </c>
      <c r="C141" s="656">
        <v>0.33401206121035587</v>
      </c>
      <c r="F141" s="655">
        <v>0.34715557800000002</v>
      </c>
      <c r="G141" s="656">
        <v>0.36230641600000002</v>
      </c>
      <c r="J141" s="655">
        <v>0.38551932609609424</v>
      </c>
      <c r="K141" s="656">
        <v>0.38750097966292019</v>
      </c>
      <c r="N141" s="655">
        <v>0.41167806669081453</v>
      </c>
      <c r="O141" s="656">
        <v>0.40085710346905307</v>
      </c>
      <c r="R141" s="655">
        <v>0.43713885458947915</v>
      </c>
      <c r="S141" s="656">
        <v>0.41029312367629317</v>
      </c>
      <c r="V141" s="655">
        <v>0.46011560299999998</v>
      </c>
      <c r="W141" s="656">
        <v>0.41665246</v>
      </c>
      <c r="Z141" s="655">
        <v>0.34650693129627685</v>
      </c>
      <c r="AA141" s="656">
        <v>0.36013040503318272</v>
      </c>
      <c r="AC141" s="655">
        <v>0.3843993969654505</v>
      </c>
      <c r="AD141" s="656">
        <v>0.38498577737943113</v>
      </c>
      <c r="AG141" s="655">
        <v>0.31626038780561383</v>
      </c>
      <c r="AH141" s="656">
        <v>0.33986910731127612</v>
      </c>
      <c r="AK141" s="657">
        <v>0.31599518304223773</v>
      </c>
      <c r="AL141" s="658">
        <v>0.33788676868392642</v>
      </c>
      <c r="AM141" s="646"/>
    </row>
    <row r="142" spans="2:39">
      <c r="B142" s="655">
        <v>0.31445318091942154</v>
      </c>
      <c r="C142" s="656">
        <v>0.33399455986398841</v>
      </c>
      <c r="F142" s="655">
        <v>0.347076989</v>
      </c>
      <c r="G142" s="656">
        <v>0.36228352400000002</v>
      </c>
      <c r="J142" s="655">
        <v>0.38542772822766896</v>
      </c>
      <c r="K142" s="656">
        <v>0.38748352409537801</v>
      </c>
      <c r="N142" s="655">
        <v>0.41158374499828387</v>
      </c>
      <c r="O142" s="656">
        <v>0.40084203858617728</v>
      </c>
      <c r="R142" s="655">
        <v>0.43705080625747156</v>
      </c>
      <c r="S142" s="656">
        <v>0.41028365082616952</v>
      </c>
      <c r="V142" s="655">
        <v>0.460030406</v>
      </c>
      <c r="W142" s="656">
        <v>0.41664061200000002</v>
      </c>
      <c r="Z142" s="655">
        <v>0.34645559228147055</v>
      </c>
      <c r="AA142" s="656">
        <v>0.36011807487232222</v>
      </c>
      <c r="AC142" s="655">
        <v>0.38433986068117382</v>
      </c>
      <c r="AD142" s="656">
        <v>0.38497735234367897</v>
      </c>
      <c r="AG142" s="655">
        <v>0.31611920265768784</v>
      </c>
      <c r="AH142" s="656">
        <v>0.33984426494220865</v>
      </c>
      <c r="AK142" s="657">
        <v>0.31588863486570257</v>
      </c>
      <c r="AL142" s="658">
        <v>0.33785759977331403</v>
      </c>
      <c r="AM142" s="646"/>
    </row>
    <row r="143" spans="2:39">
      <c r="B143" s="655">
        <v>0.3143885961337341</v>
      </c>
      <c r="C143" s="656">
        <v>0.33397529343855326</v>
      </c>
      <c r="F143" s="655">
        <v>0.34699764500000002</v>
      </c>
      <c r="G143" s="656">
        <v>0.36225844400000001</v>
      </c>
      <c r="J143" s="655">
        <v>0.38533502531808295</v>
      </c>
      <c r="K143" s="656">
        <v>0.38746366713002695</v>
      </c>
      <c r="N143" s="655">
        <v>0.4114882707403727</v>
      </c>
      <c r="O143" s="656">
        <v>0.40082455448141191</v>
      </c>
      <c r="R143" s="655">
        <v>0.43696179815935537</v>
      </c>
      <c r="S143" s="656">
        <v>0.41027202022738329</v>
      </c>
      <c r="V143" s="655">
        <v>0.45994449999999998</v>
      </c>
      <c r="W143" s="656">
        <v>0.41662668000000003</v>
      </c>
      <c r="Z143" s="655">
        <v>0.34640371849624851</v>
      </c>
      <c r="AA143" s="656">
        <v>0.36010427707918186</v>
      </c>
      <c r="AC143" s="655">
        <v>0.3842795507307295</v>
      </c>
      <c r="AD143" s="656">
        <v>0.38496731977528009</v>
      </c>
      <c r="AG143" s="655">
        <v>0.31597685414363491</v>
      </c>
      <c r="AH143" s="656">
        <v>0.33981587561723925</v>
      </c>
      <c r="AK143" s="657">
        <v>0.31578099355622347</v>
      </c>
      <c r="AL143" s="658">
        <v>0.33782548906425541</v>
      </c>
      <c r="AM143" s="646"/>
    </row>
    <row r="144" spans="2:39">
      <c r="B144" s="655">
        <v>0.3143233751414316</v>
      </c>
      <c r="C144" s="656">
        <v>0.33395426780279014</v>
      </c>
      <c r="F144" s="655">
        <v>0.34691757099999998</v>
      </c>
      <c r="G144" s="656">
        <v>0.36223118300000001</v>
      </c>
      <c r="J144" s="655">
        <v>0.38524124560554046</v>
      </c>
      <c r="K144" s="656">
        <v>0.38744141481549105</v>
      </c>
      <c r="N144" s="655">
        <v>0.411391672999465</v>
      </c>
      <c r="O144" s="656">
        <v>0.40080465648058461</v>
      </c>
      <c r="R144" s="655">
        <v>0.43687185740785955</v>
      </c>
      <c r="S144" s="656">
        <v>0.4102582354227276</v>
      </c>
      <c r="V144" s="655">
        <v>0.45985790999999998</v>
      </c>
      <c r="W144" s="656">
        <v>0.41661066899999999</v>
      </c>
      <c r="Z144" s="655">
        <v>0.34635132574186817</v>
      </c>
      <c r="AA144" s="656">
        <v>0.36008901585670311</v>
      </c>
      <c r="AC144" s="655">
        <v>0.38421848548511267</v>
      </c>
      <c r="AD144" s="656">
        <v>0.38495568273025199</v>
      </c>
      <c r="AG144" s="655">
        <v>0.31583338562419128</v>
      </c>
      <c r="AH144" s="656">
        <v>0.33978394798403133</v>
      </c>
      <c r="AK144" s="657">
        <v>0.31567229190238594</v>
      </c>
      <c r="AL144" s="658">
        <v>0.33779044633798361</v>
      </c>
      <c r="AM144" s="646"/>
    </row>
    <row r="145" spans="2:39">
      <c r="B145" s="655">
        <v>0.31425753780946014</v>
      </c>
      <c r="C145" s="656">
        <v>0.33393148936131151</v>
      </c>
      <c r="F145" s="655">
        <v>0.34683679099999998</v>
      </c>
      <c r="G145" s="656">
        <v>0.36220174999999999</v>
      </c>
      <c r="J145" s="655">
        <v>0.38514641765625046</v>
      </c>
      <c r="K145" s="656">
        <v>0.38741677393004087</v>
      </c>
      <c r="N145" s="655">
        <v>0.4112939812001683</v>
      </c>
      <c r="O145" s="656">
        <v>0.40078235064481921</v>
      </c>
      <c r="R145" s="655">
        <v>0.43678101139980824</v>
      </c>
      <c r="S145" s="656">
        <v>0.41024230061118755</v>
      </c>
      <c r="V145" s="655">
        <v>0.45977066300000002</v>
      </c>
      <c r="W145" s="656">
        <v>0.41659258300000002</v>
      </c>
      <c r="Z145" s="655">
        <v>0.34629842997767013</v>
      </c>
      <c r="AA145" s="656">
        <v>0.36007229585360218</v>
      </c>
      <c r="AC145" s="655">
        <v>0.38415668354538862</v>
      </c>
      <c r="AD145" s="656">
        <v>0.38494244475335132</v>
      </c>
      <c r="AG145" s="655">
        <v>0.31568884080125786</v>
      </c>
      <c r="AH145" s="656">
        <v>0.33974849176805122</v>
      </c>
      <c r="AK145" s="657">
        <v>0.31556256301576685</v>
      </c>
      <c r="AL145" s="658">
        <v>0.33775248226885252</v>
      </c>
      <c r="AM145" s="646"/>
    </row>
    <row r="146" spans="2:39">
      <c r="B146" s="655">
        <v>0.31419110419250884</v>
      </c>
      <c r="C146" s="656">
        <v>0.33390696505265122</v>
      </c>
      <c r="F146" s="655">
        <v>0.34675532999999997</v>
      </c>
      <c r="G146" s="656">
        <v>0.36217015400000002</v>
      </c>
      <c r="J146" s="655">
        <v>0.38505057035572487</v>
      </c>
      <c r="K146" s="656">
        <v>0.38738975197952885</v>
      </c>
      <c r="N146" s="655">
        <v>0.41119522510035106</v>
      </c>
      <c r="O146" s="656">
        <v>0.40075764376868939</v>
      </c>
      <c r="R146" s="655">
        <v>0.43668928780777561</v>
      </c>
      <c r="S146" s="656">
        <v>0.41022422064666098</v>
      </c>
      <c r="V146" s="655">
        <v>0.45968278400000001</v>
      </c>
      <c r="W146" s="656">
        <v>0.41657242799999999</v>
      </c>
      <c r="Z146" s="655">
        <v>0.34624504731621658</v>
      </c>
      <c r="AA146" s="656">
        <v>0.36005412216295396</v>
      </c>
      <c r="AC146" s="655">
        <v>0.38409416373702698</v>
      </c>
      <c r="AD146" s="656">
        <v>0.38492760987699404</v>
      </c>
      <c r="AG146" s="655">
        <v>0.31554326370458796</v>
      </c>
      <c r="AH146" s="656">
        <v>0.33970951776960584</v>
      </c>
      <c r="AK146" s="657">
        <v>0.31545184032084805</v>
      </c>
      <c r="AL146" s="658">
        <v>0.33771160842108539</v>
      </c>
      <c r="AM146" s="646"/>
    </row>
    <row r="147" spans="2:39">
      <c r="B147" s="655">
        <v>0.31412409452690093</v>
      </c>
      <c r="C147" s="656">
        <v>0.33388070234715128</v>
      </c>
      <c r="F147" s="655">
        <v>0.34667321200000001</v>
      </c>
      <c r="G147" s="656">
        <v>0.36213640499999999</v>
      </c>
      <c r="J147" s="655">
        <v>0.38495373289997997</v>
      </c>
      <c r="K147" s="656">
        <v>0.38736035719510281</v>
      </c>
      <c r="N147" s="655">
        <v>0.411095434782078</v>
      </c>
      <c r="O147" s="656">
        <v>0.40073054337814884</v>
      </c>
      <c r="R147" s="655">
        <v>0.43659671457165627</v>
      </c>
      <c r="S147" s="656">
        <v>0.4102040010364803</v>
      </c>
      <c r="V147" s="655">
        <v>0.45959430200000001</v>
      </c>
      <c r="W147" s="656">
        <v>0.416550211</v>
      </c>
      <c r="Z147" s="655">
        <v>0.34619119401838327</v>
      </c>
      <c r="AA147" s="656">
        <v>0.36003450032064066</v>
      </c>
      <c r="AC147" s="655">
        <v>0.38403094510416697</v>
      </c>
      <c r="AD147" s="656">
        <v>0.38491118262002727</v>
      </c>
      <c r="AG147" s="655">
        <v>0.31539669867837544</v>
      </c>
      <c r="AH147" s="656">
        <v>0.33966703786055263</v>
      </c>
      <c r="AK147" s="657">
        <v>0.31534015754483491</v>
      </c>
      <c r="AL147" s="658">
        <v>0.33766783724525212</v>
      </c>
      <c r="AM147" s="646"/>
    </row>
    <row r="148" spans="2:39">
      <c r="B148" s="655">
        <v>0.31405652922442978</v>
      </c>
      <c r="C148" s="656">
        <v>0.33385270924468619</v>
      </c>
      <c r="F148" s="655">
        <v>0.34659046300000002</v>
      </c>
      <c r="G148" s="656">
        <v>0.36210051199999999</v>
      </c>
      <c r="J148" s="655">
        <v>0.38485593478664282</v>
      </c>
      <c r="K148" s="656">
        <v>0.38732859853069884</v>
      </c>
      <c r="N148" s="655">
        <v>0.41099464064244673</v>
      </c>
      <c r="O148" s="656">
        <v>0.40070105772823916</v>
      </c>
      <c r="R148" s="655">
        <v>0.43650331989015473</v>
      </c>
      <c r="S148" s="656">
        <v>0.41018164793973461</v>
      </c>
      <c r="V148" s="655">
        <v>0.45950524300000001</v>
      </c>
      <c r="W148" s="656">
        <v>0.41652593700000001</v>
      </c>
      <c r="Z148" s="655">
        <v>0.34613688648840646</v>
      </c>
      <c r="AA148" s="656">
        <v>0.36001343630366561</v>
      </c>
      <c r="AC148" s="655">
        <v>0.38396704690381661</v>
      </c>
      <c r="AD148" s="656">
        <v>0.38489316798635254</v>
      </c>
      <c r="AG148" s="655">
        <v>0.31524919036774707</v>
      </c>
      <c r="AH148" s="656">
        <v>0.33962106498068345</v>
      </c>
      <c r="AK148" s="657">
        <v>0.31522754870738295</v>
      </c>
      <c r="AL148" s="658">
        <v>0.337621182074477</v>
      </c>
      <c r="AM148" s="646"/>
    </row>
    <row r="149" spans="2:39">
      <c r="B149" s="655">
        <v>0.31398842886614092</v>
      </c>
      <c r="C149" s="656">
        <v>0.33382299427222617</v>
      </c>
      <c r="F149" s="655">
        <v>0.34650710699999998</v>
      </c>
      <c r="G149" s="656">
        <v>0.36206248600000002</v>
      </c>
      <c r="J149" s="655">
        <v>0.38475720580596617</v>
      </c>
      <c r="K149" s="656">
        <v>0.38729448566031383</v>
      </c>
      <c r="N149" s="655">
        <v>0.41089287338432856</v>
      </c>
      <c r="O149" s="656">
        <v>0.40066919580057492</v>
      </c>
      <c r="R149" s="655">
        <v>0.43640913221219574</v>
      </c>
      <c r="S149" s="656">
        <v>0.41015716816539377</v>
      </c>
      <c r="V149" s="655">
        <v>0.45941563400000002</v>
      </c>
      <c r="W149" s="656">
        <v>0.41649961400000002</v>
      </c>
      <c r="Z149" s="655">
        <v>0.34608214126888587</v>
      </c>
      <c r="AA149" s="656">
        <v>0.35999093652833236</v>
      </c>
      <c r="AC149" s="655">
        <v>0.38390248859998666</v>
      </c>
      <c r="AD149" s="656">
        <v>0.38487357146340184</v>
      </c>
      <c r="AG149" s="655">
        <v>0.31510078370516326</v>
      </c>
      <c r="AH149" s="656">
        <v>0.33957161313378276</v>
      </c>
      <c r="AK149" s="657">
        <v>0.31511404811023491</v>
      </c>
      <c r="AL149" s="658">
        <v>0.33757165712037696</v>
      </c>
      <c r="AM149" s="646"/>
    </row>
    <row r="150" spans="2:39">
      <c r="B150" s="655">
        <v>0.31391981419606335</v>
      </c>
      <c r="C150" s="656">
        <v>0.33379156648123964</v>
      </c>
      <c r="F150" s="655">
        <v>0.34642317</v>
      </c>
      <c r="G150" s="656">
        <v>0.36202234</v>
      </c>
      <c r="J150" s="655">
        <v>0.38465757603175388</v>
      </c>
      <c r="K150" s="656">
        <v>0.38725802897505857</v>
      </c>
      <c r="N150" s="655">
        <v>0.41079016400701623</v>
      </c>
      <c r="O150" s="656">
        <v>0.40063496730060799</v>
      </c>
      <c r="R150" s="655">
        <v>0.43631418022825841</v>
      </c>
      <c r="S150" s="656">
        <v>0.4101305691702341</v>
      </c>
      <c r="V150" s="655">
        <v>0.45932550300000002</v>
      </c>
      <c r="W150" s="656">
        <v>0.41647125000000002</v>
      </c>
      <c r="Z150" s="655">
        <v>0.34602697503574564</v>
      </c>
      <c r="AA150" s="656">
        <v>0.35996700784829044</v>
      </c>
      <c r="AC150" s="655">
        <v>0.38383728985776189</v>
      </c>
      <c r="AD150" s="656">
        <v>0.38485239902046586</v>
      </c>
      <c r="AG150" s="655">
        <v>0.31495152389673103</v>
      </c>
      <c r="AH150" s="656">
        <v>0.33951869738336221</v>
      </c>
      <c r="AK150" s="657">
        <v>0.31499969032677222</v>
      </c>
      <c r="AL150" s="658">
        <v>0.33751927746873273</v>
      </c>
      <c r="AM150" s="646"/>
    </row>
    <row r="151" spans="2:39">
      <c r="B151" s="655">
        <v>0.31385070611489008</v>
      </c>
      <c r="C151" s="656">
        <v>0.33375843544493622</v>
      </c>
      <c r="F151" s="655">
        <v>0.34633867800000001</v>
      </c>
      <c r="G151" s="656">
        <v>0.36198008500000001</v>
      </c>
      <c r="J151" s="655">
        <v>0.38455707581220039</v>
      </c>
      <c r="K151" s="656">
        <v>0.38721923957999244</v>
      </c>
      <c r="N151" s="655">
        <v>0.41068654379678099</v>
      </c>
      <c r="O151" s="656">
        <v>0.4005983826546709</v>
      </c>
      <c r="R151" s="655">
        <v>0.43621849286163683</v>
      </c>
      <c r="S151" s="656">
        <v>0.41010185905656726</v>
      </c>
      <c r="V151" s="655">
        <v>0.45923487600000001</v>
      </c>
      <c r="W151" s="656">
        <v>0.416440855</v>
      </c>
      <c r="Z151" s="655">
        <v>0.34597140459315479</v>
      </c>
      <c r="AA151" s="656">
        <v>0.35994165755244761</v>
      </c>
      <c r="AC151" s="655">
        <v>0.38377147053731075</v>
      </c>
      <c r="AD151" s="656">
        <v>0.38482965710687589</v>
      </c>
      <c r="AG151" s="655">
        <v>0.31480145640843399</v>
      </c>
      <c r="AH151" s="656">
        <v>0.33946233384807206</v>
      </c>
      <c r="AK151" s="657">
        <v>0.31488451019148345</v>
      </c>
      <c r="AL151" s="658">
        <v>0.33746405907489369</v>
      </c>
      <c r="AM151" s="646"/>
    </row>
    <row r="152" spans="2:39">
      <c r="B152" s="655">
        <v>0.31378112567361222</v>
      </c>
      <c r="C152" s="656">
        <v>0.33372361125535044</v>
      </c>
      <c r="F152" s="655">
        <v>0.34625365699999999</v>
      </c>
      <c r="G152" s="656">
        <v>0.36193573499999998</v>
      </c>
      <c r="J152" s="655">
        <v>0.38445573576064612</v>
      </c>
      <c r="K152" s="656">
        <v>0.38717812929074108</v>
      </c>
      <c r="N152" s="655">
        <v>0.41058204431734263</v>
      </c>
      <c r="O152" s="656">
        <v>0.40055945300680135</v>
      </c>
      <c r="R152" s="655">
        <v>0.43612209925962986</v>
      </c>
      <c r="S152" s="656">
        <v>0.410071046569772</v>
      </c>
      <c r="V152" s="655">
        <v>0.459143782</v>
      </c>
      <c r="W152" s="656">
        <v>0.41640843599999999</v>
      </c>
      <c r="Z152" s="655">
        <v>0.34591544686840853</v>
      </c>
      <c r="AA152" s="656">
        <v>0.35991489336274957</v>
      </c>
      <c r="AC152" s="655">
        <v>0.38370505068783595</v>
      </c>
      <c r="AD152" s="656">
        <v>0.38480535265003901</v>
      </c>
      <c r="AG152" s="655">
        <v>0.3146506269522828</v>
      </c>
      <c r="AH152" s="656">
        <v>0.33940253969679107</v>
      </c>
      <c r="AK152" s="657">
        <v>0.31476854278935368</v>
      </c>
      <c r="AL152" s="658">
        <v>0.33740601875891746</v>
      </c>
      <c r="AM152" s="646"/>
    </row>
    <row r="153" spans="2:39">
      <c r="B153" s="655">
        <v>0.31371109406710618</v>
      </c>
      <c r="C153" s="656">
        <v>0.33368710452026795</v>
      </c>
      <c r="F153" s="655">
        <v>0.34616813200000002</v>
      </c>
      <c r="G153" s="656">
        <v>0.36188930200000002</v>
      </c>
      <c r="J153" s="655">
        <v>0.38435358674625247</v>
      </c>
      <c r="K153" s="656">
        <v>0.38713471062989674</v>
      </c>
      <c r="N153" s="655">
        <v>0.410476697400255</v>
      </c>
      <c r="O153" s="656">
        <v>0.40051819021534707</v>
      </c>
      <c r="R153" s="655">
        <v>0.43602502878466248</v>
      </c>
      <c r="S153" s="656">
        <v>0.41003814109563025</v>
      </c>
      <c r="V153" s="655">
        <v>0.459052248</v>
      </c>
      <c r="W153" s="656">
        <v>0.41637400499999999</v>
      </c>
      <c r="Z153" s="655">
        <v>0.3458591189067719</v>
      </c>
      <c r="AA153" s="656">
        <v>0.35988672343182776</v>
      </c>
      <c r="AC153" s="655">
        <v>0.38363805054146694</v>
      </c>
      <c r="AD153" s="656">
        <v>0.38477949305332826</v>
      </c>
      <c r="AG153" s="655">
        <v>0.31449908147239092</v>
      </c>
      <c r="AH153" s="656">
        <v>0.33933933314339704</v>
      </c>
      <c r="AK153" s="657">
        <v>0.314651823445177</v>
      </c>
      <c r="AL153" s="658">
        <v>0.33734517420044652</v>
      </c>
      <c r="AM153" s="646"/>
    </row>
    <row r="154" spans="2:39">
      <c r="B154" s="655">
        <v>0.31364063262767777</v>
      </c>
      <c r="C154" s="656">
        <v>0.33364892635999371</v>
      </c>
      <c r="F154" s="655">
        <v>0.34608212900000002</v>
      </c>
      <c r="G154" s="656">
        <v>0.36184080099999999</v>
      </c>
      <c r="J154" s="655">
        <v>0.38425065988459872</v>
      </c>
      <c r="K154" s="656">
        <v>0.38708899682320413</v>
      </c>
      <c r="N154" s="655">
        <v>0.41037053513520944</v>
      </c>
      <c r="O154" s="656">
        <v>0.40047460684935421</v>
      </c>
      <c r="R154" s="655">
        <v>0.43592731100534166</v>
      </c>
      <c r="S154" s="656">
        <v>0.41000315265746823</v>
      </c>
      <c r="V154" s="655">
        <v>0.45896030199999999</v>
      </c>
      <c r="W154" s="656">
        <v>0.41633757100000002</v>
      </c>
      <c r="Z154" s="655">
        <v>0.34580243786628756</v>
      </c>
      <c r="AA154" s="656">
        <v>0.35985715634051607</v>
      </c>
      <c r="AC154" s="655">
        <v>0.38357049050709741</v>
      </c>
      <c r="AD154" s="656">
        <v>0.38475208619382734</v>
      </c>
      <c r="AG154" s="655">
        <v>0.31434686613097951</v>
      </c>
      <c r="AH154" s="656">
        <v>0.33927273344121833</v>
      </c>
      <c r="AK154" s="657">
        <v>0.31453438771279624</v>
      </c>
      <c r="AL154" s="658">
        <v>0.33728154393332288</v>
      </c>
      <c r="AM154" s="646"/>
    </row>
    <row r="155" spans="2:39">
      <c r="B155" s="655">
        <v>0.31356976281856391</v>
      </c>
      <c r="C155" s="656">
        <v>0.33360908840396536</v>
      </c>
      <c r="F155" s="655">
        <v>0.34599567399999998</v>
      </c>
      <c r="G155" s="656">
        <v>0.36179024599999998</v>
      </c>
      <c r="J155" s="655">
        <v>0.38414698652820412</v>
      </c>
      <c r="K155" s="656">
        <v>0.38704100179553169</v>
      </c>
      <c r="N155" s="655">
        <v>0.4102635898602604</v>
      </c>
      <c r="O155" s="656">
        <v>0.40042871618473813</v>
      </c>
      <c r="R155" s="655">
        <v>0.4358289756874496</v>
      </c>
      <c r="S155" s="656">
        <v>0.40996609191310313</v>
      </c>
      <c r="V155" s="655">
        <v>0.45886797200000001</v>
      </c>
      <c r="W155" s="656">
        <v>0.41629914499999998</v>
      </c>
      <c r="Z155" s="655">
        <v>0.34574542101254963</v>
      </c>
      <c r="AA155" s="656">
        <v>0.35982620109523683</v>
      </c>
      <c r="AC155" s="655">
        <v>0.38350239116416829</v>
      </c>
      <c r="AD155" s="656">
        <v>0.38472314041993116</v>
      </c>
      <c r="AG155" s="655">
        <v>0.31419402729431622</v>
      </c>
      <c r="AH155" s="656">
        <v>0.3392027608771695</v>
      </c>
      <c r="AK155" s="657">
        <v>0.31441627136427319</v>
      </c>
      <c r="AL155" s="658">
        <v>0.33721514733994229</v>
      </c>
      <c r="AM155" s="646"/>
    </row>
    <row r="156" spans="2:39">
      <c r="B156" s="655">
        <v>0.31349850622739511</v>
      </c>
      <c r="C156" s="656">
        <v>0.33356760278721015</v>
      </c>
      <c r="F156" s="655">
        <v>0.34590879499999999</v>
      </c>
      <c r="G156" s="656">
        <v>0.36173765400000002</v>
      </c>
      <c r="J156" s="655">
        <v>0.38404259825697717</v>
      </c>
      <c r="K156" s="656">
        <v>0.38699074016662965</v>
      </c>
      <c r="N156" s="655">
        <v>0.41015589415197456</v>
      </c>
      <c r="O156" s="656">
        <v>0.40038053220023989</v>
      </c>
      <c r="R156" s="655">
        <v>0.43573005278487675</v>
      </c>
      <c r="S156" s="656">
        <v>0.40992697015159668</v>
      </c>
      <c r="V156" s="655">
        <v>0.458775286</v>
      </c>
      <c r="W156" s="656">
        <v>0.41625874000000002</v>
      </c>
      <c r="Z156" s="655">
        <v>0.34568808571344406</v>
      </c>
      <c r="AA156" s="656">
        <v>0.35979386712525774</v>
      </c>
      <c r="AC156" s="655">
        <v>0.38343377325639916</v>
      </c>
      <c r="AD156" s="656">
        <v>0.38469266454880274</v>
      </c>
      <c r="AG156" s="655">
        <v>0.3140406115185912</v>
      </c>
      <c r="AH156" s="656">
        <v>0.33912943676557133</v>
      </c>
      <c r="AK156" s="657">
        <v>0.31429751037899178</v>
      </c>
      <c r="AL156" s="658">
        <v>0.33714600464535022</v>
      </c>
      <c r="AM156" s="646"/>
    </row>
    <row r="157" spans="2:39">
      <c r="B157" s="655">
        <v>0.3134268845596192</v>
      </c>
      <c r="C157" s="656">
        <v>0.33352448214664876</v>
      </c>
      <c r="F157" s="655">
        <v>0.345821516</v>
      </c>
      <c r="G157" s="656">
        <v>0.36168304000000001</v>
      </c>
      <c r="J157" s="655">
        <v>0.38393752686859667</v>
      </c>
      <c r="K157" s="656">
        <v>0.3869382272466772</v>
      </c>
      <c r="N157" s="655">
        <v>0.41004748081550801</v>
      </c>
      <c r="O157" s="656">
        <v>0.40033006957316786</v>
      </c>
      <c r="R157" s="655">
        <v>0.43563057243049752</v>
      </c>
      <c r="S157" s="656">
        <v>0.40988579928981639</v>
      </c>
      <c r="V157" s="655">
        <v>0.45868227299999997</v>
      </c>
      <c r="W157" s="656">
        <v>0.41621636699999998</v>
      </c>
      <c r="Z157" s="655">
        <v>0.34563044943385834</v>
      </c>
      <c r="AA157" s="656">
        <v>0.35976016427981916</v>
      </c>
      <c r="AC157" s="655">
        <v>0.3833646576854694</v>
      </c>
      <c r="AD157" s="656">
        <v>0.38466066786368774</v>
      </c>
      <c r="AG157" s="655">
        <v>0.31388666553573591</v>
      </c>
      <c r="AH157" s="656">
        <v>0.33905278344165857</v>
      </c>
      <c r="AK157" s="657">
        <v>0.31417814093269864</v>
      </c>
      <c r="AL157" s="658">
        <v>0.33707413691108129</v>
      </c>
      <c r="AM157" s="646"/>
    </row>
    <row r="158" spans="2:39">
      <c r="B158" s="655">
        <v>0.31335491963189005</v>
      </c>
      <c r="C158" s="656">
        <v>0.33347973961724614</v>
      </c>
      <c r="F158" s="655">
        <v>0.345733866</v>
      </c>
      <c r="G158" s="656">
        <v>0.36162642099999998</v>
      </c>
      <c r="J158" s="655">
        <v>0.3838318043688253</v>
      </c>
      <c r="K158" s="656">
        <v>0.3868834790316184</v>
      </c>
      <c r="N158" s="655">
        <v>0.40993838287461321</v>
      </c>
      <c r="O158" s="656">
        <v>0.40027734367492718</v>
      </c>
      <c r="R158" s="655">
        <v>0.43553056492699149</v>
      </c>
      <c r="S158" s="656">
        <v>0.40984259186880567</v>
      </c>
      <c r="V158" s="655">
        <v>0.45858895999999999</v>
      </c>
      <c r="W158" s="656">
        <v>0.41617204000000002</v>
      </c>
      <c r="Z158" s="655">
        <v>0.34557252973036162</v>
      </c>
      <c r="AA158" s="656">
        <v>0.35972510282513442</v>
      </c>
      <c r="AC158" s="655">
        <v>0.38329506550465142</v>
      </c>
      <c r="AD158" s="656">
        <v>0.38462716011108644</v>
      </c>
      <c r="AG158" s="655">
        <v>0.31373223623918811</v>
      </c>
      <c r="AH158" s="656">
        <v>0.33897282425477615</v>
      </c>
      <c r="AK158" s="657">
        <v>0.31405819938648344</v>
      </c>
      <c r="AL158" s="658">
        <v>0.33699956602874354</v>
      </c>
      <c r="AM158" s="646"/>
    </row>
    <row r="159" spans="2:39">
      <c r="B159" s="655">
        <v>0.31328263336542184</v>
      </c>
      <c r="C159" s="656">
        <v>0.3334333888280101</v>
      </c>
      <c r="F159" s="655">
        <v>0.34564587000000002</v>
      </c>
      <c r="G159" s="656">
        <v>0.36156781300000002</v>
      </c>
      <c r="J159" s="655">
        <v>0.38372546296176063</v>
      </c>
      <c r="K159" s="656">
        <v>0.38682651219828995</v>
      </c>
      <c r="N159" s="655">
        <v>0.40982863356157978</v>
      </c>
      <c r="O159" s="656">
        <v>0.40022237056633719</v>
      </c>
      <c r="R159" s="655">
        <v>0.43543006073761309</v>
      </c>
      <c r="S159" s="656">
        <v>0.4097973610499635</v>
      </c>
      <c r="V159" s="655">
        <v>0.45849537699999998</v>
      </c>
      <c r="W159" s="656">
        <v>0.416125772</v>
      </c>
      <c r="Z159" s="655">
        <v>0.34551434424585664</v>
      </c>
      <c r="AA159" s="656">
        <v>0.3596886934412622</v>
      </c>
      <c r="AC159" s="655">
        <v>0.38322501791239777</v>
      </c>
      <c r="AD159" s="656">
        <v>0.38459215149778481</v>
      </c>
      <c r="AG159" s="655">
        <v>0.31357737066960745</v>
      </c>
      <c r="AH159" s="656">
        <v>0.33888958356126703</v>
      </c>
      <c r="AK159" s="657">
        <v>0.31393772227570305</v>
      </c>
      <c r="AL159" s="658">
        <v>0.33692231471335016</v>
      </c>
      <c r="AM159" s="646"/>
    </row>
    <row r="160" spans="2:39">
      <c r="B160" s="655">
        <v>0.3132100477793115</v>
      </c>
      <c r="C160" s="656">
        <v>0.33338544389784003</v>
      </c>
      <c r="F160" s="655">
        <v>0.34555755599999999</v>
      </c>
      <c r="G160" s="656">
        <v>0.36150723600000001</v>
      </c>
      <c r="J160" s="655">
        <v>0.38361853504002541</v>
      </c>
      <c r="K160" s="656">
        <v>0.3867673440993411</v>
      </c>
      <c r="N160" s="655">
        <v>0.40971826630711172</v>
      </c>
      <c r="O160" s="656">
        <v>0.4001651669927393</v>
      </c>
      <c r="R160" s="655">
        <v>0.43532909047691198</v>
      </c>
      <c r="S160" s="656">
        <v>0.40975012061103538</v>
      </c>
      <c r="V160" s="655">
        <v>0.45840155199999999</v>
      </c>
      <c r="W160" s="656">
        <v>0.416077578</v>
      </c>
      <c r="Z160" s="655">
        <v>0.34545591070420567</v>
      </c>
      <c r="AA160" s="656">
        <v>0.35965094721885355</v>
      </c>
      <c r="AC160" s="655">
        <v>0.38315453624588353</v>
      </c>
      <c r="AD160" s="656">
        <v>0.38455565268774561</v>
      </c>
      <c r="AG160" s="655">
        <v>0.31342211600054665</v>
      </c>
      <c r="AH160" s="656">
        <v>0.33880308671705289</v>
      </c>
      <c r="AK160" s="657">
        <v>0.31381674629885248</v>
      </c>
      <c r="AL160" s="658">
        <v>0.33684240649640007</v>
      </c>
      <c r="AM160" s="646"/>
    </row>
    <row r="161" spans="2:39">
      <c r="B161" s="655">
        <v>0.31313718498383175</v>
      </c>
      <c r="C161" s="656">
        <v>0.3333359194312262</v>
      </c>
      <c r="F161" s="655">
        <v>0.34546895</v>
      </c>
      <c r="G161" s="656">
        <v>0.36144470699999998</v>
      </c>
      <c r="J161" s="655">
        <v>0.38351105317490053</v>
      </c>
      <c r="K161" s="656">
        <v>0.38670599275794793</v>
      </c>
      <c r="N161" s="655">
        <v>0.40960731473014383</v>
      </c>
      <c r="O161" s="656">
        <v>0.40010575037889617</v>
      </c>
      <c r="R161" s="655">
        <v>0.43522768490140767</v>
      </c>
      <c r="S161" s="656">
        <v>0.40970088494191675</v>
      </c>
      <c r="V161" s="655">
        <v>0.458307513</v>
      </c>
      <c r="W161" s="656">
        <v>0.41602747000000001</v>
      </c>
      <c r="Z161" s="655">
        <v>0.34539724690483148</v>
      </c>
      <c r="AA161" s="656">
        <v>0.35961187565577346</v>
      </c>
      <c r="AC161" s="655">
        <v>0.38308364197450706</v>
      </c>
      <c r="AD161" s="656">
        <v>0.38451767479885995</v>
      </c>
      <c r="AG161" s="655">
        <v>0.31326651952408191</v>
      </c>
      <c r="AH161" s="656">
        <v>0.33871336006991026</v>
      </c>
      <c r="AK161" s="657">
        <v>0.31369530830638626</v>
      </c>
      <c r="AL161" s="658">
        <v>0.33675986571871036</v>
      </c>
      <c r="AM161" s="646"/>
    </row>
    <row r="162" spans="2:39">
      <c r="B162" s="655">
        <v>0.31306406717369595</v>
      </c>
      <c r="C162" s="656">
        <v>0.33328483051380087</v>
      </c>
      <c r="F162" s="655">
        <v>0.34538007900000001</v>
      </c>
      <c r="G162" s="656">
        <v>0.36138024499999999</v>
      </c>
      <c r="J162" s="655">
        <v>0.38340305010640319</v>
      </c>
      <c r="K162" s="656">
        <v>0.38664247686232339</v>
      </c>
      <c r="N162" s="655">
        <v>0.40949581262760132</v>
      </c>
      <c r="O162" s="656">
        <v>0.40004413882368395</v>
      </c>
      <c r="R162" s="655">
        <v>0.43512587490022087</v>
      </c>
      <c r="S162" s="656">
        <v>0.40964966904026934</v>
      </c>
      <c r="V162" s="655">
        <v>0.458213288</v>
      </c>
      <c r="W162" s="656">
        <v>0.41597546600000002</v>
      </c>
      <c r="Z162" s="655">
        <v>0.34533837071729573</v>
      </c>
      <c r="AA162" s="656">
        <v>0.3595714906535985</v>
      </c>
      <c r="AC162" s="655">
        <v>0.38301235669335026</v>
      </c>
      <c r="AD162" s="656">
        <v>0.38447822939956072</v>
      </c>
      <c r="AG162" s="655">
        <v>0.31311062863640726</v>
      </c>
      <c r="AH162" s="656">
        <v>0.33862043095144517</v>
      </c>
      <c r="AK162" s="657">
        <v>0.31357344528949327</v>
      </c>
      <c r="AL162" s="658">
        <v>0.33667471752300143</v>
      </c>
      <c r="AM162" s="646"/>
    </row>
    <row r="163" spans="2:39">
      <c r="B163" s="655">
        <v>0.31299071662129735</v>
      </c>
      <c r="C163" s="656">
        <v>0.33323219270774312</v>
      </c>
      <c r="F163" s="655">
        <v>0.345290971</v>
      </c>
      <c r="G163" s="656">
        <v>0.36131386999999998</v>
      </c>
      <c r="J163" s="655">
        <v>0.38329455873331431</v>
      </c>
      <c r="K163" s="656">
        <v>0.38657681576002462</v>
      </c>
      <c r="N163" s="655">
        <v>0.40938379396410474</v>
      </c>
      <c r="O163" s="656">
        <v>0.39998035109457919</v>
      </c>
      <c r="R163" s="655">
        <v>0.43502369148566411</v>
      </c>
      <c r="S163" s="656">
        <v>0.40959648850695285</v>
      </c>
      <c r="V163" s="655">
        <v>0.45811890799999999</v>
      </c>
      <c r="W163" s="656">
        <v>0.41592158099999998</v>
      </c>
      <c r="Z163" s="655">
        <v>0.34527930007585544</v>
      </c>
      <c r="AA163" s="656">
        <v>0.35952980451399164</v>
      </c>
      <c r="AC163" s="655">
        <v>0.38294070211660031</v>
      </c>
      <c r="AD163" s="656">
        <v>0.3844373285052986</v>
      </c>
      <c r="AG163" s="655">
        <v>0.31295449082339721</v>
      </c>
      <c r="AH163" s="656">
        <v>0.33852432766876728</v>
      </c>
      <c r="AK163" s="657">
        <v>0.3134511943688289</v>
      </c>
      <c r="AL163" s="658">
        <v>0.33658698784623853</v>
      </c>
      <c r="AM163" s="646"/>
    </row>
    <row r="164" spans="2:39">
      <c r="B164" s="655">
        <v>0.31291715566992478</v>
      </c>
      <c r="C164" s="656">
        <v>0.33317802204703867</v>
      </c>
      <c r="F164" s="655">
        <v>0.34520165200000003</v>
      </c>
      <c r="G164" s="656">
        <v>0.361245602</v>
      </c>
      <c r="J164" s="655">
        <v>0.38318561210315721</v>
      </c>
      <c r="K164" s="656">
        <v>0.38650902945205939</v>
      </c>
      <c r="N164" s="655">
        <v>0.40927129286162411</v>
      </c>
      <c r="O164" s="656">
        <v>0.39991440662194216</v>
      </c>
      <c r="R164" s="655">
        <v>0.43492116578379536</v>
      </c>
      <c r="S164" s="656">
        <v>0.40954135954127302</v>
      </c>
      <c r="V164" s="655">
        <v>0.4580244</v>
      </c>
      <c r="W164" s="656">
        <v>0.41586583100000002</v>
      </c>
      <c r="Z164" s="655">
        <v>0.34522005297400027</v>
      </c>
      <c r="AA164" s="656">
        <v>0.35948682993495479</v>
      </c>
      <c r="AC164" s="655">
        <v>0.38286870007093543</v>
      </c>
      <c r="AD164" s="656">
        <v>0.38439498457488225</v>
      </c>
      <c r="AG164" s="655">
        <v>0.31279815364614216</v>
      </c>
      <c r="AH164" s="656">
        <v>0.33842507949586748</v>
      </c>
      <c r="AK164" s="657">
        <v>0.31332859278320796</v>
      </c>
      <c r="AL164" s="658">
        <v>0.33649670341173116</v>
      </c>
      <c r="AM164" s="646"/>
    </row>
    <row r="165" spans="2:39">
      <c r="B165" s="655">
        <v>0.31284340672695665</v>
      </c>
      <c r="C165" s="656">
        <v>0.33312233503259553</v>
      </c>
      <c r="F165" s="655">
        <v>0.34511215000000001</v>
      </c>
      <c r="G165" s="656">
        <v>0.36117546299999997</v>
      </c>
      <c r="J165" s="655">
        <v>0.3830762434021307</v>
      </c>
      <c r="K165" s="656">
        <v>0.3864391385867938</v>
      </c>
      <c r="N165" s="655">
        <v>0.40915834358908509</v>
      </c>
      <c r="O165" s="656">
        <v>0.39984632549309795</v>
      </c>
      <c r="R165" s="655">
        <v>0.43481832902493661</v>
      </c>
      <c r="S165" s="656">
        <v>0.40948429893604676</v>
      </c>
      <c r="V165" s="655">
        <v>0.45792979299999997</v>
      </c>
      <c r="W165" s="656">
        <v>0.415808234</v>
      </c>
      <c r="Z165" s="655">
        <v>0.34516064745897135</v>
      </c>
      <c r="AA165" s="656">
        <v>0.359442580006961</v>
      </c>
      <c r="AC165" s="655">
        <v>0.38279637248887621</v>
      </c>
      <c r="AD165" s="656">
        <v>0.38435121050668308</v>
      </c>
      <c r="AG165" s="655">
        <v>0.31264166472646082</v>
      </c>
      <c r="AH165" s="656">
        <v>0.33832271666470065</v>
      </c>
      <c r="AK165" s="657">
        <v>0.31320567787826104</v>
      </c>
      <c r="AL165" s="658">
        <v>0.33640389172099255</v>
      </c>
      <c r="AM165" s="646"/>
    </row>
    <row r="166" spans="2:39">
      <c r="B166" s="655">
        <v>0.31276949225703538</v>
      </c>
      <c r="C166" s="656">
        <v>0.3330651486272177</v>
      </c>
      <c r="F166" s="655">
        <v>0.34502249200000001</v>
      </c>
      <c r="G166" s="656">
        <v>0.36110347199999998</v>
      </c>
      <c r="J166" s="655">
        <v>0.38296648594500071</v>
      </c>
      <c r="K166" s="656">
        <v>0.38636716445366248</v>
      </c>
      <c r="N166" s="655">
        <v>0.40904498055193028</v>
      </c>
      <c r="O166" s="656">
        <v>0.39977612844621802</v>
      </c>
      <c r="R166" s="655">
        <v>0.43471521253416084</v>
      </c>
      <c r="S166" s="656">
        <v>0.40942532407248722</v>
      </c>
      <c r="V166" s="655">
        <v>0.45783511599999999</v>
      </c>
      <c r="W166" s="656">
        <v>0.41574880600000003</v>
      </c>
      <c r="Z166" s="655">
        <v>0.34510110162626401</v>
      </c>
      <c r="AA166" s="656">
        <v>0.359397068208967</v>
      </c>
      <c r="AC166" s="655">
        <v>0.3827237414021048</v>
      </c>
      <c r="AD166" s="656">
        <v>0.38430601963470623</v>
      </c>
      <c r="AG166" s="655">
        <v>0.31248507173239393</v>
      </c>
      <c r="AH166" s="656">
        <v>0.33821727035597682</v>
      </c>
      <c r="AK166" s="657">
        <v>0.31308248709505893</v>
      </c>
      <c r="AL166" s="658">
        <v>0.33630858104536288</v>
      </c>
      <c r="AM166" s="646"/>
    </row>
    <row r="167" spans="2:39">
      <c r="B167" s="655">
        <v>0.31269543477522449</v>
      </c>
      <c r="C167" s="656">
        <v>0.33300648025043833</v>
      </c>
      <c r="F167" s="655">
        <v>0.34493270599999998</v>
      </c>
      <c r="G167" s="656">
        <v>0.36102965300000001</v>
      </c>
      <c r="J167" s="655">
        <v>0.3828563731649518</v>
      </c>
      <c r="K167" s="656">
        <v>0.38629312897668355</v>
      </c>
      <c r="N167" s="655">
        <v>0.40893123828163896</v>
      </c>
      <c r="O167" s="656">
        <v>0.39970383686400279</v>
      </c>
      <c r="R167" s="655">
        <v>0.43461184772174999</v>
      </c>
      <c r="S167" s="656">
        <v>0.40936445291490914</v>
      </c>
      <c r="V167" s="655">
        <v>0.45774039700000002</v>
      </c>
      <c r="W167" s="656">
        <v>0.41568756600000001</v>
      </c>
      <c r="Z167" s="655">
        <v>0.34504143361411577</v>
      </c>
      <c r="AA167" s="656">
        <v>0.35935030840430743</v>
      </c>
      <c r="AC167" s="655">
        <v>0.38265082893475377</v>
      </c>
      <c r="AD167" s="656">
        <v>0.3842594257245292</v>
      </c>
      <c r="AG167" s="655">
        <v>0.31232842236368458</v>
      </c>
      <c r="AH167" s="656">
        <v>0.33810877268966305</v>
      </c>
      <c r="AK167" s="657">
        <v>0.31295905795870749</v>
      </c>
      <c r="AL167" s="658">
        <v>0.33621080041739715</v>
      </c>
      <c r="AM167" s="646"/>
    </row>
    <row r="168" spans="2:39">
      <c r="B168" s="655">
        <v>0.31262125684015046</v>
      </c>
      <c r="C168" s="656">
        <v>0.33294634777321319</v>
      </c>
      <c r="F168" s="655">
        <v>0.344842818</v>
      </c>
      <c r="G168" s="656">
        <v>0.36095402799999998</v>
      </c>
      <c r="J168" s="655">
        <v>0.38274593860340361</v>
      </c>
      <c r="K168" s="656">
        <v>0.3862170547077805</v>
      </c>
      <c r="N168" s="655">
        <v>0.40881715142520847</v>
      </c>
      <c r="O168" s="656">
        <v>0.39962947276716859</v>
      </c>
      <c r="R168" s="655">
        <v>0.4345082660736273</v>
      </c>
      <c r="S168" s="656">
        <v>0.40930170400525678</v>
      </c>
      <c r="V168" s="655">
        <v>0.45764566699999998</v>
      </c>
      <c r="W168" s="656">
        <v>0.41562453300000002</v>
      </c>
      <c r="Z168" s="655">
        <v>0.3449816615979811</v>
      </c>
      <c r="AA168" s="656">
        <v>0.35930231483647163</v>
      </c>
      <c r="AC168" s="655">
        <v>0.3825776572966671</v>
      </c>
      <c r="AD168" s="656">
        <v>0.38421144296910831</v>
      </c>
      <c r="AG168" s="655">
        <v>0.31217176433724791</v>
      </c>
      <c r="AH168" s="656">
        <v>0.33799725671519959</v>
      </c>
      <c r="AK168" s="657">
        <v>0.31283542806691744</v>
      </c>
      <c r="AL168" s="658">
        <v>0.33611057962202195</v>
      </c>
      <c r="AM168" s="646"/>
    </row>
    <row r="169" spans="2:39">
      <c r="B169" s="655">
        <v>0.31254698104713086</v>
      </c>
      <c r="C169" s="656">
        <v>0.33288476951247742</v>
      </c>
      <c r="F169" s="655">
        <v>0.344752856</v>
      </c>
      <c r="G169" s="656">
        <v>0.36087661900000001</v>
      </c>
      <c r="J169" s="655">
        <v>0.38263521589979327</v>
      </c>
      <c r="K169" s="656">
        <v>0.38613896481991261</v>
      </c>
      <c r="N169" s="655">
        <v>0.40870275473460055</v>
      </c>
      <c r="O169" s="656">
        <v>0.39955305880773961</v>
      </c>
      <c r="R169" s="655">
        <v>0.43440449914176615</v>
      </c>
      <c r="S169" s="656">
        <v>0.40923709645745587</v>
      </c>
      <c r="V169" s="655">
        <v>0.45755095299999998</v>
      </c>
      <c r="W169" s="656">
        <v>0.41555972600000002</v>
      </c>
      <c r="Z169" s="655">
        <v>0.34492180378499521</v>
      </c>
      <c r="AA169" s="656">
        <v>0.35925310212476536</v>
      </c>
      <c r="AC169" s="655">
        <v>0.38250424877663453</v>
      </c>
      <c r="AD169" s="656">
        <v>0.38416208598445567</v>
      </c>
      <c r="AG169" s="655">
        <v>0.31201514537263636</v>
      </c>
      <c r="AH169" s="656">
        <v>0.3378827564014325</v>
      </c>
      <c r="AK169" s="657">
        <v>0.31271163507855138</v>
      </c>
      <c r="AL169" s="658">
        <v>0.33600794918746241</v>
      </c>
      <c r="AM169" s="646"/>
    </row>
    <row r="170" spans="2:39">
      <c r="B170" s="655">
        <v>0.31247263002129166</v>
      </c>
      <c r="C170" s="656">
        <v>0.33282176422556581</v>
      </c>
      <c r="F170" s="655">
        <v>0.34466284699999999</v>
      </c>
      <c r="G170" s="656">
        <v>0.36079745099999999</v>
      </c>
      <c r="J170" s="655">
        <v>0.38252423878132891</v>
      </c>
      <c r="K170" s="656">
        <v>0.38605888310001624</v>
      </c>
      <c r="N170" s="655">
        <v>0.40858808305615524</v>
      </c>
      <c r="O170" s="656">
        <v>0.39947461826214814</v>
      </c>
      <c r="R170" s="655">
        <v>0.43430057853457926</v>
      </c>
      <c r="S170" s="656">
        <v>0.40917064995159136</v>
      </c>
      <c r="V170" s="655">
        <v>0.45745628500000002</v>
      </c>
      <c r="W170" s="656">
        <v>0.41549316400000003</v>
      </c>
      <c r="Z170" s="655">
        <v>0.34486187840842769</v>
      </c>
      <c r="AA170" s="656">
        <v>0.35920268525985732</v>
      </c>
      <c r="AC170" s="655">
        <v>0.38243062573560238</v>
      </c>
      <c r="AD170" s="656">
        <v>0.38411136980518701</v>
      </c>
      <c r="AG170" s="655">
        <v>0.31185861317750374</v>
      </c>
      <c r="AH170" s="656">
        <v>0.33776530662626664</v>
      </c>
      <c r="AK170" s="657">
        <v>0.3125877167021528</v>
      </c>
      <c r="AL170" s="658">
        <v>0.33590294037594304</v>
      </c>
      <c r="AM170" s="646"/>
    </row>
    <row r="171" spans="2:39">
      <c r="B171" s="655">
        <v>0.31239822641067577</v>
      </c>
      <c r="C171" s="656">
        <v>0.33275735110449906</v>
      </c>
      <c r="F171" s="655">
        <v>0.34457281899999997</v>
      </c>
      <c r="G171" s="656">
        <v>0.36071654800000003</v>
      </c>
      <c r="J171" s="655">
        <v>0.38241304105271595</v>
      </c>
      <c r="K171" s="656">
        <v>0.38597683394175902</v>
      </c>
      <c r="N171" s="655">
        <v>0.40847317131997668</v>
      </c>
      <c r="O171" s="656">
        <v>0.39939417502414432</v>
      </c>
      <c r="R171" s="655">
        <v>0.43419653590729024</v>
      </c>
      <c r="S171" s="656">
        <v>0.4091023847279126</v>
      </c>
      <c r="V171" s="655">
        <v>0.45736168999999999</v>
      </c>
      <c r="W171" s="656">
        <v>0.415424868</v>
      </c>
      <c r="Z171" s="655">
        <v>0.34480190372212888</v>
      </c>
      <c r="AA171" s="656">
        <v>0.35915107959921294</v>
      </c>
      <c r="AC171" s="655">
        <v>0.38235681059986215</v>
      </c>
      <c r="AD171" s="656">
        <v>0.38405930987994175</v>
      </c>
      <c r="AG171" s="655">
        <v>0.31170221543307308</v>
      </c>
      <c r="AH171" s="656">
        <v>0.33764494316604116</v>
      </c>
      <c r="AK171" s="657">
        <v>0.31246371068445955</v>
      </c>
      <c r="AL171" s="658">
        <v>0.33579558517416508</v>
      </c>
      <c r="AM171" s="646"/>
    </row>
    <row r="172" spans="2:39">
      <c r="B172" s="655">
        <v>0.31232379287934359</v>
      </c>
      <c r="C172" s="656">
        <v>0.33269154977013782</v>
      </c>
      <c r="F172" s="655">
        <v>0.34448279999999998</v>
      </c>
      <c r="G172" s="656">
        <v>0.36063393300000002</v>
      </c>
      <c r="J172" s="655">
        <v>0.38230165658585963</v>
      </c>
      <c r="K172" s="656">
        <v>0.38589284233810933</v>
      </c>
      <c r="N172" s="655">
        <v>0.40835805452929297</v>
      </c>
      <c r="O172" s="656">
        <v>0.39931175359751758</v>
      </c>
      <c r="R172" s="655">
        <v>0.43409240295229123</v>
      </c>
      <c r="S172" s="656">
        <v>0.40903232158066805</v>
      </c>
      <c r="V172" s="655">
        <v>0.45726719900000001</v>
      </c>
      <c r="W172" s="656">
        <v>0.41535485799999999</v>
      </c>
      <c r="Z172" s="655">
        <v>0.34474189799496907</v>
      </c>
      <c r="AA172" s="656">
        <v>0.35909830086241645</v>
      </c>
      <c r="AC172" s="655">
        <v>0.3822828258542193</v>
      </c>
      <c r="AD172" s="656">
        <v>0.3840059220666775</v>
      </c>
      <c r="AG172" s="655">
        <v>0.31154599977961239</v>
      </c>
      <c r="AH172" s="656">
        <v>0.33752170268463205</v>
      </c>
      <c r="AK172" s="657">
        <v>0.31233965479890596</v>
      </c>
      <c r="AL172" s="658">
        <v>0.33568591628356298</v>
      </c>
      <c r="AM172" s="646"/>
    </row>
    <row r="173" spans="2:39">
      <c r="B173" s="655">
        <v>0.31224935210046989</v>
      </c>
      <c r="C173" s="656">
        <v>0.33262438026620594</v>
      </c>
      <c r="F173" s="655">
        <v>0.34439281599999999</v>
      </c>
      <c r="G173" s="656">
        <v>0.36054963299999998</v>
      </c>
      <c r="J173" s="655">
        <v>0.38219011930954766</v>
      </c>
      <c r="K173" s="656">
        <v>0.38580693387372328</v>
      </c>
      <c r="N173" s="655">
        <v>0.40824276774979357</v>
      </c>
      <c r="O173" s="656">
        <v>0.39922737908863304</v>
      </c>
      <c r="R173" s="655">
        <v>0.43398821138948912</v>
      </c>
      <c r="S173" s="656">
        <v>0.40896048185177108</v>
      </c>
      <c r="V173" s="655">
        <v>0.45717284000000002</v>
      </c>
      <c r="W173" s="656">
        <v>0.41528315700000001</v>
      </c>
      <c r="Z173" s="655">
        <v>0.34468187950527418</v>
      </c>
      <c r="AA173" s="656">
        <v>0.35904436512638227</v>
      </c>
      <c r="AC173" s="655">
        <v>0.38220869403514396</v>
      </c>
      <c r="AD173" s="656">
        <v>0.38395122262783932</v>
      </c>
      <c r="AG173" s="655">
        <v>0.31139001380192294</v>
      </c>
      <c r="AH173" s="656">
        <v>0.33739562272228391</v>
      </c>
      <c r="AK173" s="657">
        <v>0.31221558683411643</v>
      </c>
      <c r="AL173" s="658">
        <v>0.33557396711034326</v>
      </c>
      <c r="AM173" s="646"/>
    </row>
    <row r="174" spans="2:39">
      <c r="B174" s="655">
        <v>0.31217492674943698</v>
      </c>
      <c r="C174" s="656">
        <v>0.33255586305318507</v>
      </c>
      <c r="F174" s="655">
        <v>0.344302895</v>
      </c>
      <c r="G174" s="656">
        <v>0.36046367299999998</v>
      </c>
      <c r="J174" s="655">
        <v>0.38207846319911476</v>
      </c>
      <c r="K174" s="656">
        <v>0.38571913471715141</v>
      </c>
      <c r="N174" s="655">
        <v>0.40812734609894841</v>
      </c>
      <c r="O174" s="656">
        <v>0.39914107719878339</v>
      </c>
      <c r="R174" s="655">
        <v>0.43388399295664326</v>
      </c>
      <c r="S174" s="656">
        <v>0.40888688742429896</v>
      </c>
      <c r="V174" s="655">
        <v>0.45707864100000001</v>
      </c>
      <c r="W174" s="656">
        <v>0.415209785</v>
      </c>
      <c r="Z174" s="655">
        <v>0.3446218665352575</v>
      </c>
      <c r="AA174" s="656">
        <v>0.35898928882045811</v>
      </c>
      <c r="AC174" s="655">
        <v>0.38213443772390643</v>
      </c>
      <c r="AD174" s="656">
        <v>0.38389522822540617</v>
      </c>
      <c r="AG174" s="655">
        <v>0.31123430501484473</v>
      </c>
      <c r="AH174" s="656">
        <v>0.33726674168417453</v>
      </c>
      <c r="AK174" s="657">
        <v>0.31209154458239496</v>
      </c>
      <c r="AL174" s="658">
        <v>0.33545977175530844</v>
      </c>
      <c r="AM174" s="646"/>
    </row>
    <row r="175" spans="2:39">
      <c r="B175" s="655">
        <v>0.31210053949692784</v>
      </c>
      <c r="C175" s="656">
        <v>0.33248601900208202</v>
      </c>
      <c r="F175" s="655">
        <v>0.34421306499999998</v>
      </c>
      <c r="G175" s="656">
        <v>0.36037607900000002</v>
      </c>
      <c r="J175" s="655">
        <v>0.38196672226609391</v>
      </c>
      <c r="K175" s="656">
        <v>0.38562947161286731</v>
      </c>
      <c r="N175" s="655">
        <v>0.40801182473531045</v>
      </c>
      <c r="O175" s="656">
        <v>0.39905287421636032</v>
      </c>
      <c r="R175" s="655">
        <v>0.43377977939969781</v>
      </c>
      <c r="S175" s="656">
        <v>0.40881156071582736</v>
      </c>
      <c r="V175" s="655">
        <v>0.45698463099999997</v>
      </c>
      <c r="W175" s="656">
        <v>0.41513476500000002</v>
      </c>
      <c r="Z175" s="655">
        <v>0.34456187736545107</v>
      </c>
      <c r="AA175" s="656">
        <v>0.35893308872142027</v>
      </c>
      <c r="AC175" s="655">
        <v>0.38206007953969839</v>
      </c>
      <c r="AD175" s="656">
        <v>0.38383795591581549</v>
      </c>
      <c r="AG175" s="655">
        <v>0.31107892084878258</v>
      </c>
      <c r="AH175" s="656">
        <v>0.33713509882871662</v>
      </c>
      <c r="AK175" s="657">
        <v>0.31196756582821306</v>
      </c>
      <c r="AL175" s="658">
        <v>0.33534336500347001</v>
      </c>
      <c r="AM175" s="646"/>
    </row>
    <row r="176" spans="2:39">
      <c r="B176" s="655">
        <v>0.31202621300202016</v>
      </c>
      <c r="C176" s="656">
        <v>0.3324148693880713</v>
      </c>
      <c r="F176" s="655">
        <v>0.34412335300000002</v>
      </c>
      <c r="G176" s="656">
        <v>0.36028687799999998</v>
      </c>
      <c r="J176" s="655">
        <v>0.38185493054785574</v>
      </c>
      <c r="K176" s="656">
        <v>0.38553797187312117</v>
      </c>
      <c r="N176" s="655">
        <v>0.40789623884780613</v>
      </c>
      <c r="O176" s="656">
        <v>0.39896279700884674</v>
      </c>
      <c r="R176" s="655">
        <v>0.43367560246311188</v>
      </c>
      <c r="S176" s="656">
        <v>0.40873452467160126</v>
      </c>
      <c r="V176" s="655">
        <v>0.45689084000000002</v>
      </c>
      <c r="W176" s="656">
        <v>0.415058121</v>
      </c>
      <c r="Z176" s="655">
        <v>0.34450193026913717</v>
      </c>
      <c r="AA176" s="656">
        <v>0.35887578194836339</v>
      </c>
      <c r="AC176" s="655">
        <v>0.38198564213274316</v>
      </c>
      <c r="AD176" s="656">
        <v>0.3837794231447676</v>
      </c>
      <c r="AG176" s="655">
        <v>0.31092390863525876</v>
      </c>
      <c r="AH176" s="656">
        <v>0.33700073425559929</v>
      </c>
      <c r="AK176" s="657">
        <v>0.31184368833670023</v>
      </c>
      <c r="AL176" s="658">
        <v>0.33522478231345215</v>
      </c>
      <c r="AM176" s="646"/>
    </row>
    <row r="177" spans="2:39">
      <c r="B177" s="655">
        <v>0.31195196990528429</v>
      </c>
      <c r="C177" s="656">
        <v>0.33234243588401463</v>
      </c>
      <c r="F177" s="655">
        <v>0.34403378600000001</v>
      </c>
      <c r="G177" s="656">
        <v>0.36019609699999999</v>
      </c>
      <c r="J177" s="655">
        <v>0.38174312209724054</v>
      </c>
      <c r="K177" s="656">
        <v>0.38544466336961997</v>
      </c>
      <c r="N177" s="655">
        <v>0.40778062364501649</v>
      </c>
      <c r="O177" s="656">
        <v>0.39887087301463259</v>
      </c>
      <c r="R177" s="655">
        <v>0.43357149388018945</v>
      </c>
      <c r="S177" s="656">
        <v>0.40865580275754604</v>
      </c>
      <c r="V177" s="655">
        <v>0.45679729499999999</v>
      </c>
      <c r="W177" s="656">
        <v>0.41497987400000003</v>
      </c>
      <c r="Z177" s="655">
        <v>0.34444204350678198</v>
      </c>
      <c r="AA177" s="656">
        <v>0.35881738595748569</v>
      </c>
      <c r="AC177" s="655">
        <v>0.38191114817739591</v>
      </c>
      <c r="AD177" s="656">
        <v>0.38371964774191153</v>
      </c>
      <c r="AG177" s="655">
        <v>0.3107693155924951</v>
      </c>
      <c r="AH177" s="656">
        <v>0.33686368889357304</v>
      </c>
      <c r="AK177" s="657">
        <v>0.31171994984214046</v>
      </c>
      <c r="AL177" s="658">
        <v>0.33510405980669106</v>
      </c>
      <c r="AM177" s="646"/>
    </row>
    <row r="178" spans="2:39">
      <c r="B178" s="655">
        <v>0.31187783282188675</v>
      </c>
      <c r="C178" s="656">
        <v>0.33226874055385902</v>
      </c>
      <c r="F178" s="655">
        <v>0.34394439100000002</v>
      </c>
      <c r="G178" s="656">
        <v>0.36010376300000002</v>
      </c>
      <c r="J178" s="655">
        <v>0.38163133097218555</v>
      </c>
      <c r="K178" s="656">
        <v>0.38534957452503793</v>
      </c>
      <c r="N178" s="655">
        <v>0.40766501434445229</v>
      </c>
      <c r="O178" s="656">
        <v>0.39877713023465705</v>
      </c>
      <c r="R178" s="655">
        <v>0.4334674853634134</v>
      </c>
      <c r="S178" s="656">
        <v>0.40857541895311933</v>
      </c>
      <c r="V178" s="655">
        <v>0.45670402399999999</v>
      </c>
      <c r="W178" s="656">
        <v>0.41490005000000002</v>
      </c>
      <c r="Z178" s="655">
        <v>0.34438223532047357</v>
      </c>
      <c r="AA178" s="656">
        <v>0.35875791853677164</v>
      </c>
      <c r="AC178" s="655">
        <v>0.38183662036523713</v>
      </c>
      <c r="AD178" s="656">
        <v>0.3836586479154141</v>
      </c>
      <c r="AG178" s="655">
        <v>0.31061518881103006</v>
      </c>
      <c r="AH178" s="656">
        <v>0.33672400448798279</v>
      </c>
      <c r="AK178" s="657">
        <v>0.31159638803647788</v>
      </c>
      <c r="AL178" s="658">
        <v>0.33498123425643173</v>
      </c>
      <c r="AM178" s="646"/>
    </row>
    <row r="179" spans="2:39">
      <c r="B179" s="655">
        <v>0.31180382433470122</v>
      </c>
      <c r="C179" s="656">
        <v>0.33219380584591596</v>
      </c>
      <c r="F179" s="655">
        <v>0.34385519599999997</v>
      </c>
      <c r="G179" s="656">
        <v>0.36000990599999999</v>
      </c>
      <c r="J179" s="655">
        <v>0.38151959122535034</v>
      </c>
      <c r="K179" s="656">
        <v>0.38525273430435814</v>
      </c>
      <c r="N179" s="655">
        <v>0.40754944616182637</v>
      </c>
      <c r="O179" s="656">
        <v>0.39868159722387903</v>
      </c>
      <c r="R179" s="655">
        <v>0.43336360859478557</v>
      </c>
      <c r="S179" s="656">
        <v>0.40849339774400667</v>
      </c>
      <c r="V179" s="655">
        <v>0.45661105800000001</v>
      </c>
      <c r="W179" s="656">
        <v>0.414818672</v>
      </c>
      <c r="Z179" s="655">
        <v>0.34432252392836477</v>
      </c>
      <c r="AA179" s="656">
        <v>0.35869739780057369</v>
      </c>
      <c r="AC179" s="655">
        <v>0.38176208139816037</v>
      </c>
      <c r="AD179" s="656">
        <v>0.38359644224641332</v>
      </c>
      <c r="AG179" s="655">
        <v>0.31046157523937434</v>
      </c>
      <c r="AH179" s="656">
        <v>0.33658172358805161</v>
      </c>
      <c r="AK179" s="657">
        <v>0.31147304055783537</v>
      </c>
      <c r="AL179" s="658">
        <v>0.33485634307652656</v>
      </c>
      <c r="AM179" s="646"/>
    </row>
    <row r="180" spans="2:39">
      <c r="B180" s="655">
        <v>0.31172996698742994</v>
      </c>
      <c r="C180" s="656">
        <v>0.33211765458602333</v>
      </c>
      <c r="F180" s="655">
        <v>0.34376622800000001</v>
      </c>
      <c r="G180" s="656">
        <v>0.359914552</v>
      </c>
      <c r="J180" s="655">
        <v>0.38140793689374425</v>
      </c>
      <c r="K180" s="656">
        <v>0.38515417220604997</v>
      </c>
      <c r="N180" s="655">
        <v>0.40743395430032675</v>
      </c>
      <c r="O180" s="656">
        <v>0.39858430308257897</v>
      </c>
      <c r="R180" s="655">
        <v>0.43325989521617586</v>
      </c>
      <c r="S180" s="656">
        <v>0.4084097641146629</v>
      </c>
      <c r="V180" s="655">
        <v>0.45651842300000001</v>
      </c>
      <c r="W180" s="656">
        <v>0.41473576600000001</v>
      </c>
      <c r="Z180" s="655">
        <v>0.34426292751912407</v>
      </c>
      <c r="AA180" s="656">
        <v>0.35863584218409433</v>
      </c>
      <c r="AC180" s="655">
        <v>0.38168755398145704</v>
      </c>
      <c r="AD180" s="656">
        <v>0.38353304968335861</v>
      </c>
      <c r="AG180" s="655">
        <v>0.3103085216697099</v>
      </c>
      <c r="AH180" s="656">
        <v>0.33643688953391993</v>
      </c>
      <c r="AK180" s="657">
        <v>0.31134994497904989</v>
      </c>
      <c r="AL180" s="658">
        <v>0.33472942431003883</v>
      </c>
      <c r="AM180" s="646"/>
    </row>
    <row r="181" spans="2:39">
      <c r="B181" s="655">
        <v>0.31165628327773631</v>
      </c>
      <c r="C181" s="656">
        <v>0.33204030997059258</v>
      </c>
      <c r="F181" s="655">
        <v>0.34367751400000002</v>
      </c>
      <c r="G181" s="656">
        <v>0.35981773299999997</v>
      </c>
      <c r="J181" s="655">
        <v>0.38129640198835835</v>
      </c>
      <c r="K181" s="656">
        <v>0.38505391825308338</v>
      </c>
      <c r="N181" s="655">
        <v>0.40731857393989318</v>
      </c>
      <c r="O181" s="656">
        <v>0.39848527744749496</v>
      </c>
      <c r="R181" s="655">
        <v>0.43315637681968416</v>
      </c>
      <c r="S181" s="656">
        <v>0.40832454354070163</v>
      </c>
      <c r="V181" s="655">
        <v>0.456426147</v>
      </c>
      <c r="W181" s="656">
        <v>0.41465135600000003</v>
      </c>
      <c r="Z181" s="655">
        <v>0.34420346424639509</v>
      </c>
      <c r="AA181" s="656">
        <v>0.35857327043777065</v>
      </c>
      <c r="AC181" s="655">
        <v>0.38161306081690022</v>
      </c>
      <c r="AD181" s="656">
        <v>0.38346848953623874</v>
      </c>
      <c r="AG181" s="655">
        <v>0.31015607472363677</v>
      </c>
      <c r="AH181" s="656">
        <v>0.33628954644344372</v>
      </c>
      <c r="AK181" s="657">
        <v>0.31122713879622715</v>
      </c>
      <c r="AL181" s="658">
        <v>0.33460051661765433</v>
      </c>
      <c r="AM181" s="646"/>
    </row>
    <row r="182" spans="2:39">
      <c r="B182" s="655">
        <v>0.3115827956503921</v>
      </c>
      <c r="C182" s="656">
        <v>0.33196179555954297</v>
      </c>
      <c r="F182" s="655">
        <v>0.34358908100000002</v>
      </c>
      <c r="G182" s="656">
        <v>0.35971947599999998</v>
      </c>
      <c r="J182" s="655">
        <v>0.38118502048380526</v>
      </c>
      <c r="K182" s="656">
        <v>0.38495200298378363</v>
      </c>
      <c r="N182" s="655">
        <v>0.40720334022650123</v>
      </c>
      <c r="O182" s="656">
        <v>0.39838455048279459</v>
      </c>
      <c r="R182" s="655">
        <v>0.43305308493801686</v>
      </c>
      <c r="S182" s="656">
        <v>0.40823776198113532</v>
      </c>
      <c r="V182" s="655">
        <v>0.45633425999999999</v>
      </c>
      <c r="W182" s="656">
        <v>0.41456546799999999</v>
      </c>
      <c r="Z182" s="655">
        <v>0.34414415222326666</v>
      </c>
      <c r="AA182" s="656">
        <v>0.35850970162156282</v>
      </c>
      <c r="AC182" s="655">
        <v>0.38153862459582949</v>
      </c>
      <c r="AD182" s="656">
        <v>0.38340278147069995</v>
      </c>
      <c r="AG182" s="655">
        <v>0.31000428083797144</v>
      </c>
      <c r="AH182" s="656">
        <v>0.33613973919875556</v>
      </c>
      <c r="AK182" s="657">
        <v>0.31110465941732018</v>
      </c>
      <c r="AL182" s="658">
        <v>0.33446965926590494</v>
      </c>
      <c r="AM182" s="646"/>
    </row>
    <row r="183" spans="2:39">
      <c r="B183" s="655">
        <v>0.3115095264904405</v>
      </c>
      <c r="C183" s="656">
        <v>0.33188213526912452</v>
      </c>
      <c r="F183" s="655">
        <v>0.34350095600000002</v>
      </c>
      <c r="G183" s="656">
        <v>0.35961981199999998</v>
      </c>
      <c r="J183" s="655">
        <v>0.38107382630797026</v>
      </c>
      <c r="K183" s="656">
        <v>0.38484845744252899</v>
      </c>
      <c r="N183" s="655">
        <v>0.40708828826145621</v>
      </c>
      <c r="O183" s="656">
        <v>0.39828215287088709</v>
      </c>
      <c r="R183" s="655">
        <v>0.43295005103488166</v>
      </c>
      <c r="S183" s="656">
        <v>0.4081494458704677</v>
      </c>
      <c r="V183" s="655">
        <v>0.45624278899999998</v>
      </c>
      <c r="W183" s="656">
        <v>0.41447812899999997</v>
      </c>
      <c r="Z183" s="655">
        <v>0.34408500951675569</v>
      </c>
      <c r="AA183" s="656">
        <v>0.35844515509914793</v>
      </c>
      <c r="AC183" s="655">
        <v>0.38146426799223887</v>
      </c>
      <c r="AD183" s="656">
        <v>0.38333594550205558</v>
      </c>
      <c r="AG183" s="655">
        <v>0.30985318625060204</v>
      </c>
      <c r="AH183" s="656">
        <v>0.33598751343259353</v>
      </c>
      <c r="AK183" s="657">
        <v>0.31098254415073417</v>
      </c>
      <c r="AL183" s="658">
        <v>0.33433689211520756</v>
      </c>
      <c r="AM183" s="646"/>
    </row>
    <row r="184" spans="2:39">
      <c r="B184" s="655">
        <v>0.31143649811637741</v>
      </c>
      <c r="C184" s="656">
        <v>0.33180135336463346</v>
      </c>
      <c r="F184" s="655">
        <v>0.34341316599999999</v>
      </c>
      <c r="G184" s="656">
        <v>0.35951877100000001</v>
      </c>
      <c r="J184" s="655">
        <v>0.3809628533316764</v>
      </c>
      <c r="K184" s="656">
        <v>0.38474331317029437</v>
      </c>
      <c r="N184" s="655">
        <v>0.40697345309070132</v>
      </c>
      <c r="O184" s="656">
        <v>0.39817811580307705</v>
      </c>
      <c r="R184" s="655">
        <v>0.43284730649540354</v>
      </c>
      <c r="S184" s="656">
        <v>0.40805962211064151</v>
      </c>
      <c r="V184" s="655">
        <v>0.45615176200000002</v>
      </c>
      <c r="W184" s="656">
        <v>0.41438936500000001</v>
      </c>
      <c r="Z184" s="655">
        <v>0.34402605414230347</v>
      </c>
      <c r="AA184" s="656">
        <v>0.35837965053202203</v>
      </c>
      <c r="AC184" s="655">
        <v>0.38139001365587016</v>
      </c>
      <c r="AD184" s="656">
        <v>0.38326800198918909</v>
      </c>
      <c r="AG184" s="655">
        <v>0.3097028369864035</v>
      </c>
      <c r="AH184" s="656">
        <v>0.33583291551440059</v>
      </c>
      <c r="AK184" s="657">
        <v>0.31086083019396238</v>
      </c>
      <c r="AL184" s="658">
        <v>0.33420225560772243</v>
      </c>
      <c r="AM184" s="646"/>
    </row>
    <row r="185" spans="2:39">
      <c r="B185" s="655">
        <v>0.31136373277335305</v>
      </c>
      <c r="C185" s="656">
        <v>0.33171947445302047</v>
      </c>
      <c r="F185" s="655">
        <v>0.34332573700000002</v>
      </c>
      <c r="G185" s="656">
        <v>0.35941638399999998</v>
      </c>
      <c r="J185" s="655">
        <v>0.38085213535836737</v>
      </c>
      <c r="K185" s="656">
        <v>0.3846366021950437</v>
      </c>
      <c r="N185" s="655">
        <v>0.40685886969414192</v>
      </c>
      <c r="O185" s="656">
        <v>0.39807247097006315</v>
      </c>
      <c r="R185" s="655">
        <v>0.43274488261656469</v>
      </c>
      <c r="S185" s="656">
        <v>0.40796831806284423</v>
      </c>
      <c r="V185" s="655">
        <v>0.456061206</v>
      </c>
      <c r="W185" s="656">
        <v>0.414299203</v>
      </c>
      <c r="Z185" s="655">
        <v>0.34396730405828813</v>
      </c>
      <c r="AA185" s="656">
        <v>0.35831320787351084</v>
      </c>
      <c r="AC185" s="655">
        <v>0.38131588420531348</v>
      </c>
      <c r="AD185" s="656">
        <v>0.38319897162835265</v>
      </c>
      <c r="AG185" s="655">
        <v>0.3095532788432182</v>
      </c>
      <c r="AH185" s="656">
        <v>0.33567599253620023</v>
      </c>
      <c r="AK185" s="657">
        <v>0.31073955462225505</v>
      </c>
      <c r="AL185" s="658">
        <v>0.33406579075503412</v>
      </c>
      <c r="AM185" s="646"/>
    </row>
    <row r="186" spans="2:39">
      <c r="B186" s="655">
        <v>0.31129125262639568</v>
      </c>
      <c r="C186" s="656">
        <v>0.33163652347539513</v>
      </c>
      <c r="F186" s="655">
        <v>0.34323869600000001</v>
      </c>
      <c r="G186" s="656">
        <v>0.35931268300000002</v>
      </c>
      <c r="J186" s="655">
        <v>0.38074170611381036</v>
      </c>
      <c r="K186" s="656">
        <v>0.3845283570219738</v>
      </c>
      <c r="N186" s="655">
        <v>0.40674457297499061</v>
      </c>
      <c r="O186" s="656">
        <v>0.39796525055228493</v>
      </c>
      <c r="R186" s="655">
        <v>0.43264281059767062</v>
      </c>
      <c r="S186" s="656">
        <v>0.40787556153917326</v>
      </c>
      <c r="V186" s="655">
        <v>0.45597114999999999</v>
      </c>
      <c r="W186" s="656">
        <v>0.41420766999999997</v>
      </c>
      <c r="Z186" s="655">
        <v>0.34390877716055446</v>
      </c>
      <c r="AA186" s="656">
        <v>0.35824584736269177</v>
      </c>
      <c r="AC186" s="655">
        <v>0.38124190222111759</v>
      </c>
      <c r="AD186" s="656">
        <v>0.38312887544686292</v>
      </c>
      <c r="AG186" s="655">
        <v>0.30940455737790534</v>
      </c>
      <c r="AH186" s="656">
        <v>0.33551679229825182</v>
      </c>
      <c r="AK186" s="657">
        <v>0.31061875437732611</v>
      </c>
      <c r="AL186" s="658">
        <v>0.33392753912565859</v>
      </c>
      <c r="AM186" s="646"/>
    </row>
    <row r="187" spans="2:39">
      <c r="B187" s="655">
        <v>0.31121907975366031</v>
      </c>
      <c r="C187" s="656">
        <v>0.33155252569942889</v>
      </c>
      <c r="F187" s="655">
        <v>0.34315206999999998</v>
      </c>
      <c r="G187" s="656">
        <v>0.35920769800000002</v>
      </c>
      <c r="J187" s="655">
        <v>0.38063159923582301</v>
      </c>
      <c r="K187" s="656">
        <v>0.38441861062361293</v>
      </c>
      <c r="N187" s="655">
        <v>0.40663059774913529</v>
      </c>
      <c r="O187" s="656">
        <v>0.39785648721012035</v>
      </c>
      <c r="R187" s="655">
        <v>0.43254112153084723</v>
      </c>
      <c r="S187" s="656">
        <v>0.40778138079416432</v>
      </c>
      <c r="V187" s="655">
        <v>0.45588161999999999</v>
      </c>
      <c r="W187" s="656">
        <v>0.41411479499999998</v>
      </c>
      <c r="Z187" s="655">
        <v>0.34385049127696238</v>
      </c>
      <c r="AA187" s="656">
        <v>0.35817758951822898</v>
      </c>
      <c r="AC187" s="655">
        <v>0.38116809023891157</v>
      </c>
      <c r="AD187" s="656">
        <v>0.3830577347966958</v>
      </c>
      <c r="AG187" s="655">
        <v>0.30925671789246395</v>
      </c>
      <c r="AH187" s="656">
        <v>0.33535536329448995</v>
      </c>
      <c r="AK187" s="657">
        <v>0.31049846625610045</v>
      </c>
      <c r="AL187" s="658">
        <v>0.33378754283238149</v>
      </c>
      <c r="AM187" s="646"/>
    </row>
    <row r="188" spans="2:39">
      <c r="B188" s="655">
        <v>0.31114723613970302</v>
      </c>
      <c r="C188" s="656">
        <v>0.33146750671165792</v>
      </c>
      <c r="F188" s="655">
        <v>0.34306588500000001</v>
      </c>
      <c r="G188" s="656">
        <v>0.35910146199999998</v>
      </c>
      <c r="J188" s="655">
        <v>0.38052184826402696</v>
      </c>
      <c r="K188" s="656">
        <v>0.38430739642977713</v>
      </c>
      <c r="N188" s="655">
        <v>0.40651697873453385</v>
      </c>
      <c r="O188" s="656">
        <v>0.3977462140739369</v>
      </c>
      <c r="R188" s="655">
        <v>0.43243984639156924</v>
      </c>
      <c r="S188" s="656">
        <v>0.40768580451618464</v>
      </c>
      <c r="V188" s="655">
        <v>0.45579264400000002</v>
      </c>
      <c r="W188" s="656">
        <v>0.41402060499999999</v>
      </c>
      <c r="Z188" s="655">
        <v>0.34379246416195675</v>
      </c>
      <c r="AA188" s="656">
        <v>0.35810845513212308</v>
      </c>
      <c r="AC188" s="655">
        <v>0.38109447074254021</v>
      </c>
      <c r="AD188" s="656">
        <v>0.3829855713479825</v>
      </c>
      <c r="AG188" s="655">
        <v>0.30910980542023347</v>
      </c>
      <c r="AH188" s="656">
        <v>0.33519175469775309</v>
      </c>
      <c r="AK188" s="657">
        <v>0.31037872689950508</v>
      </c>
      <c r="AL188" s="658">
        <v>0.33364584451942986</v>
      </c>
      <c r="AM188" s="646"/>
    </row>
    <row r="189" spans="2:39">
      <c r="B189" s="655">
        <v>0.31107574366878471</v>
      </c>
      <c r="C189" s="656">
        <v>0.33138149240968956</v>
      </c>
      <c r="F189" s="655">
        <v>0.34298016799999997</v>
      </c>
      <c r="G189" s="656">
        <v>0.358994007</v>
      </c>
      <c r="J189" s="655">
        <v>0.38041248662963145</v>
      </c>
      <c r="K189" s="656">
        <v>0.38419474831738726</v>
      </c>
      <c r="N189" s="655">
        <v>0.40640375054063871</v>
      </c>
      <c r="O189" s="656">
        <v>0.39763446473400027</v>
      </c>
      <c r="R189" s="655">
        <v>0.43233901602922525</v>
      </c>
      <c r="S189" s="656">
        <v>0.4075888618186943</v>
      </c>
      <c r="V189" s="655">
        <v>0.45570424900000001</v>
      </c>
      <c r="W189" s="656">
        <v>0.413925129</v>
      </c>
      <c r="Z189" s="655">
        <v>0.34373471349115886</v>
      </c>
      <c r="AA189" s="656">
        <v>0.35803846526337785</v>
      </c>
      <c r="AC189" s="655">
        <v>0.38102106615721532</v>
      </c>
      <c r="AD189" s="656">
        <v>0.38291240708240859</v>
      </c>
      <c r="AG189" s="655">
        <v>0.30896386471217607</v>
      </c>
      <c r="AH189" s="656">
        <v>0.33502601634480456</v>
      </c>
      <c r="AK189" s="657">
        <v>0.31025957278130784</v>
      </c>
      <c r="AL189" s="658">
        <v>0.33350248734948257</v>
      </c>
      <c r="AM189" s="646"/>
    </row>
    <row r="190" spans="2:39">
      <c r="B190" s="655">
        <v>0.31100462411820451</v>
      </c>
      <c r="C190" s="656">
        <v>0.33129450899431334</v>
      </c>
      <c r="F190" s="655">
        <v>0.34289494300000001</v>
      </c>
      <c r="G190" s="656">
        <v>0.35888536599999998</v>
      </c>
      <c r="J190" s="655">
        <v>0.38030354764524965</v>
      </c>
      <c r="K190" s="656">
        <v>0.38408070060014965</v>
      </c>
      <c r="N190" s="655">
        <v>0.40629094765785473</v>
      </c>
      <c r="O190" s="656">
        <v>0.39752127323024183</v>
      </c>
      <c r="R190" s="655">
        <v>0.43223866115772036</v>
      </c>
      <c r="S190" s="656">
        <v>0.40749058223137818</v>
      </c>
      <c r="V190" s="655">
        <v>0.455616462</v>
      </c>
      <c r="W190" s="656">
        <v>0.41382839799999999</v>
      </c>
      <c r="Z190" s="655">
        <v>0.34367725685598255</v>
      </c>
      <c r="AA190" s="656">
        <v>0.35796764123158525</v>
      </c>
      <c r="AC190" s="655">
        <v>0.38094789884268465</v>
      </c>
      <c r="AD190" s="656">
        <v>0.38283826428651807</v>
      </c>
      <c r="AG190" s="655">
        <v>0.30881894022324524</v>
      </c>
      <c r="AH190" s="656">
        <v>0.33485819872115236</v>
      </c>
      <c r="AK190" s="657">
        <v>0.3101410401970075</v>
      </c>
      <c r="AL190" s="658">
        <v>0.33335751499052224</v>
      </c>
      <c r="AM190" s="646"/>
    </row>
    <row r="191" spans="2:39">
      <c r="B191" s="655">
        <v>0.31093389915166647</v>
      </c>
      <c r="C191" s="656">
        <v>0.33120658296152033</v>
      </c>
      <c r="F191" s="655">
        <v>0.34281023900000002</v>
      </c>
      <c r="G191" s="656">
        <v>0.35877557199999999</v>
      </c>
      <c r="J191" s="655">
        <v>0.3801950644947516</v>
      </c>
      <c r="K191" s="656">
        <v>0.38396528801810365</v>
      </c>
      <c r="N191" s="655">
        <v>0.40617860444703263</v>
      </c>
      <c r="O191" s="656">
        <v>0.39740667404189017</v>
      </c>
      <c r="R191" s="655">
        <v>0.43213881234612056</v>
      </c>
      <c r="S191" s="656">
        <v>0.40739099569115056</v>
      </c>
      <c r="V191" s="655">
        <v>0.45552931000000002</v>
      </c>
      <c r="W191" s="656">
        <v>0.41373043900000001</v>
      </c>
      <c r="Z191" s="655">
        <v>0.34362011175827539</v>
      </c>
      <c r="AA191" s="656">
        <v>0.35789600461043147</v>
      </c>
      <c r="AC191" s="655">
        <v>0.38087499108642092</v>
      </c>
      <c r="AD191" s="656">
        <v>0.38276316554492484</v>
      </c>
      <c r="AG191" s="655">
        <v>0.30867507609884415</v>
      </c>
      <c r="AH191" s="656">
        <v>0.33468835294567023</v>
      </c>
      <c r="AK191" s="657">
        <v>0.31002316525277746</v>
      </c>
      <c r="AL191" s="658">
        <v>0.33321097160253388</v>
      </c>
      <c r="AM191" s="646"/>
    </row>
    <row r="192" spans="2:39">
      <c r="B192" s="655">
        <v>0.31086359031268057</v>
      </c>
      <c r="C192" s="656">
        <v>0.33111774109443182</v>
      </c>
      <c r="F192" s="655">
        <v>0.34272607900000002</v>
      </c>
      <c r="G192" s="656">
        <v>0.35866465800000003</v>
      </c>
      <c r="J192" s="655">
        <v>0.3800870702231558</v>
      </c>
      <c r="K192" s="656">
        <v>0.38384854572703986</v>
      </c>
      <c r="N192" s="655">
        <v>0.40606675512900281</v>
      </c>
      <c r="O192" s="656">
        <v>0.39729070207696826</v>
      </c>
      <c r="R192" s="655">
        <v>0.4320395000093411</v>
      </c>
      <c r="S192" s="656">
        <v>0.40729013253303636</v>
      </c>
      <c r="V192" s="655">
        <v>0.455442819</v>
      </c>
      <c r="W192" s="656">
        <v>0.41363128199999999</v>
      </c>
      <c r="Z192" s="655">
        <v>0.34356329560498777</v>
      </c>
      <c r="AA192" s="656">
        <v>0.35782357722112534</v>
      </c>
      <c r="AC192" s="655">
        <v>0.38080236509683307</v>
      </c>
      <c r="AD192" s="656">
        <v>0.38268713373343305</v>
      </c>
      <c r="AG192" s="655">
        <v>0.30853231616137883</v>
      </c>
      <c r="AH192" s="656">
        <v>0.3345165307550268</v>
      </c>
      <c r="AK192" s="657">
        <v>0.3099059838544676</v>
      </c>
      <c r="AL192" s="658">
        <v>0.33306290182405301</v>
      </c>
      <c r="AM192" s="646"/>
    </row>
    <row r="193" spans="2:39">
      <c r="B193" s="655">
        <v>0.31079371901800024</v>
      </c>
      <c r="C193" s="656">
        <v>0.33102801045514108</v>
      </c>
      <c r="F193" s="655">
        <v>0.34264249000000002</v>
      </c>
      <c r="G193" s="656">
        <v>0.35855265800000002</v>
      </c>
      <c r="J193" s="655">
        <v>0.37997959772656353</v>
      </c>
      <c r="K193" s="656">
        <v>0.38373050928779101</v>
      </c>
      <c r="N193" s="655">
        <v>0.40595543377415105</v>
      </c>
      <c r="O193" s="656">
        <v>0.39717339266166002</v>
      </c>
      <c r="R193" s="655">
        <v>0.43194075439888191</v>
      </c>
      <c r="S193" s="656">
        <v>0.40718802348093058</v>
      </c>
      <c r="V193" s="655">
        <v>0.45535701499999998</v>
      </c>
      <c r="W193" s="656">
        <v>0.41353095899999998</v>
      </c>
      <c r="Z193" s="655">
        <v>0.34350682570287044</v>
      </c>
      <c r="AA193" s="656">
        <v>0.35775038112575119</v>
      </c>
      <c r="AC193" s="655">
        <v>0.38073004299650104</v>
      </c>
      <c r="AD193" s="656">
        <v>0.38261019201206908</v>
      </c>
      <c r="AG193" s="655">
        <v>0.30839070389690909</v>
      </c>
      <c r="AH193" s="656">
        <v>0.33434278448792576</v>
      </c>
      <c r="AK193" s="657">
        <v>0.30978953169666706</v>
      </c>
      <c r="AL193" s="658">
        <v>0.33291335075856848</v>
      </c>
      <c r="AM193" s="646"/>
    </row>
    <row r="194" spans="2:39">
      <c r="B194" s="655">
        <v>0.31072430655109873</v>
      </c>
      <c r="C194" s="656">
        <v>0.33093741837647023</v>
      </c>
      <c r="F194" s="655">
        <v>0.34255949699999999</v>
      </c>
      <c r="G194" s="656">
        <v>0.35843960699999999</v>
      </c>
      <c r="J194" s="655">
        <v>0.3798726797421384</v>
      </c>
      <c r="K194" s="656">
        <v>0.38361121465539999</v>
      </c>
      <c r="N194" s="655">
        <v>0.40584467429204035</v>
      </c>
      <c r="O194" s="656">
        <v>0.39705478152954971</v>
      </c>
      <c r="R194" s="655">
        <v>0.43184260559361243</v>
      </c>
      <c r="S194" s="656">
        <v>0.40708469963823962</v>
      </c>
      <c r="V194" s="655">
        <v>0.45527192500000002</v>
      </c>
      <c r="W194" s="656">
        <v>0.41342949899999998</v>
      </c>
      <c r="Z194" s="655">
        <v>0.34345071925320247</v>
      </c>
      <c r="AA194" s="656">
        <v>0.35767643862054882</v>
      </c>
      <c r="AC194" s="655">
        <v>0.38065804681543719</v>
      </c>
      <c r="AD194" s="656">
        <v>0.38253236381802658</v>
      </c>
      <c r="AG194" s="655">
        <v>0.30825028244190256</v>
      </c>
      <c r="AH194" s="656">
        <v>0.33416716706916322</v>
      </c>
      <c r="AK194" s="657">
        <v>0.3096738442518312</v>
      </c>
      <c r="AL194" s="658">
        <v>0.33276236396078374</v>
      </c>
      <c r="AM194" s="646"/>
    </row>
    <row r="195" spans="2:39">
      <c r="B195" s="655">
        <v>0.31065537405568577</v>
      </c>
      <c r="C195" s="656">
        <v>0.33084599245364393</v>
      </c>
      <c r="F195" s="655">
        <v>0.34247712600000002</v>
      </c>
      <c r="G195" s="656">
        <v>0.358325538</v>
      </c>
      <c r="J195" s="655">
        <v>0.3797663488381342</v>
      </c>
      <c r="K195" s="656">
        <v>0.38349069816816739</v>
      </c>
      <c r="N195" s="655">
        <v>0.40573451042108194</v>
      </c>
      <c r="O195" s="656">
        <v>0.39693490481073723</v>
      </c>
      <c r="R195" s="655">
        <v>0.43174508349060958</v>
      </c>
      <c r="S195" s="656">
        <v>0.406980192478407</v>
      </c>
      <c r="V195" s="655">
        <v>0.45518757500000001</v>
      </c>
      <c r="W195" s="656">
        <v>0.41332693399999998</v>
      </c>
      <c r="Z195" s="655">
        <v>0.3433949933465521</v>
      </c>
      <c r="AA195" s="656">
        <v>0.35760177222912148</v>
      </c>
      <c r="AC195" s="655">
        <v>0.3805863984843757</v>
      </c>
      <c r="AD195" s="656">
        <v>0.38245367285852733</v>
      </c>
      <c r="AG195" s="655">
        <v>0.30811109457009472</v>
      </c>
      <c r="AH195" s="656">
        <v>0.33398973199350618</v>
      </c>
      <c r="AK195" s="657">
        <v>0.30955895675947631</v>
      </c>
      <c r="AL195" s="658">
        <v>0.33260998742273984</v>
      </c>
      <c r="AM195" s="646"/>
    </row>
    <row r="196" spans="2:39">
      <c r="B196" s="655">
        <v>0.31058694252926738</v>
      </c>
      <c r="C196" s="656">
        <v>0.3307537605358839</v>
      </c>
      <c r="F196" s="655">
        <v>0.34239540200000002</v>
      </c>
      <c r="G196" s="656">
        <v>0.35821048700000002</v>
      </c>
      <c r="J196" s="655">
        <v>0.37966063740397432</v>
      </c>
      <c r="K196" s="656">
        <v>0.38336899653658274</v>
      </c>
      <c r="N196" s="655">
        <v>0.40562497571825817</v>
      </c>
      <c r="O196" s="656">
        <v>0.39681379902083247</v>
      </c>
      <c r="R196" s="655">
        <v>0.43164821779605062</v>
      </c>
      <c r="S196" s="656">
        <v>0.40687453383532585</v>
      </c>
      <c r="V196" s="655">
        <v>0.45510399000000001</v>
      </c>
      <c r="W196" s="656">
        <v>0.41322329400000002</v>
      </c>
      <c r="Z196" s="655">
        <v>0.34333966495757023</v>
      </c>
      <c r="AA196" s="656">
        <v>0.35752640469557539</v>
      </c>
      <c r="AC196" s="655">
        <v>0.38051511982809227</v>
      </c>
      <c r="AD196" s="656">
        <v>0.38237414310359996</v>
      </c>
      <c r="AG196" s="655">
        <v>0.30797318267945967</v>
      </c>
      <c r="AH196" s="656">
        <v>0.33381053330939747</v>
      </c>
      <c r="AK196" s="657">
        <v>0.30944490421544557</v>
      </c>
      <c r="AL196" s="658">
        <v>0.33245626755980651</v>
      </c>
      <c r="AM196" s="646"/>
    </row>
    <row r="197" spans="2:39">
      <c r="B197" s="655">
        <v>0.31051903281674925</v>
      </c>
      <c r="C197" s="656">
        <v>0.33066075071792583</v>
      </c>
      <c r="F197" s="655">
        <v>0.34231434900000002</v>
      </c>
      <c r="G197" s="656">
        <v>0.35809448900000002</v>
      </c>
      <c r="J197" s="655">
        <v>0.37955557764038567</v>
      </c>
      <c r="K197" s="656">
        <v>0.38324614683214198</v>
      </c>
      <c r="N197" s="655">
        <v>0.40551610354890055</v>
      </c>
      <c r="O197" s="656">
        <v>0.39669150104983208</v>
      </c>
      <c r="R197" s="655">
        <v>0.43155203801616454</v>
      </c>
      <c r="S197" s="656">
        <v>0.40676775589364245</v>
      </c>
      <c r="V197" s="655">
        <v>0.45502119600000002</v>
      </c>
      <c r="W197" s="656">
        <v>0.413118612</v>
      </c>
      <c r="Z197" s="655">
        <v>0.34328475093982014</v>
      </c>
      <c r="AA197" s="656">
        <v>0.35745035897759142</v>
      </c>
      <c r="AC197" s="655">
        <v>0.38044423255875615</v>
      </c>
      <c r="AD197" s="656">
        <v>0.38229379877877823</v>
      </c>
      <c r="AG197" s="655">
        <v>0.30783658877929526</v>
      </c>
      <c r="AH197" s="656">
        <v>0.33362962560249232</v>
      </c>
      <c r="AK197" s="657">
        <v>0.30933172136124876</v>
      </c>
      <c r="AL197" s="658">
        <v>0.33230125119654308</v>
      </c>
      <c r="AM197" s="646"/>
    </row>
    <row r="198" spans="2:39">
      <c r="B198" s="655">
        <v>0.31045166560408782</v>
      </c>
      <c r="C198" s="656">
        <v>0.33056699133146128</v>
      </c>
      <c r="F198" s="655">
        <v>0.34223399300000001</v>
      </c>
      <c r="G198" s="656">
        <v>0.35797757800000002</v>
      </c>
      <c r="J198" s="655">
        <v>0.37945120154958994</v>
      </c>
      <c r="K198" s="656">
        <v>0.38312218647605512</v>
      </c>
      <c r="N198" s="655">
        <v>0.40540792707652651</v>
      </c>
      <c r="O198" s="656">
        <v>0.39656804815088281</v>
      </c>
      <c r="R198" s="655">
        <v>0.4314565734482439</v>
      </c>
      <c r="S198" s="656">
        <v>0.40665989117895224</v>
      </c>
      <c r="V198" s="655">
        <v>0.45493921799999998</v>
      </c>
      <c r="W198" s="656">
        <v>0.41301291899999998</v>
      </c>
      <c r="Z198" s="655">
        <v>0.3432302680206436</v>
      </c>
      <c r="AA198" s="656">
        <v>0.35737365823943179</v>
      </c>
      <c r="AC198" s="655">
        <v>0.38037375826931619</v>
      </c>
      <c r="AD198" s="656">
        <v>0.38221266435772183</v>
      </c>
      <c r="AG198" s="655">
        <v>0.30770135447742675</v>
      </c>
      <c r="AH198" s="656">
        <v>0.33344706397903068</v>
      </c>
      <c r="AK198" s="657">
        <v>0.30921944267347967</v>
      </c>
      <c r="AL198" s="658">
        <v>0.33214498555243543</v>
      </c>
      <c r="AM198" s="646"/>
    </row>
    <row r="199" spans="2:39">
      <c r="B199" s="655">
        <v>0.31038486141198857</v>
      </c>
      <c r="C199" s="656">
        <v>0.33047251093650759</v>
      </c>
      <c r="F199" s="655">
        <v>0.34215435700000002</v>
      </c>
      <c r="G199" s="656">
        <v>0.35785979099999998</v>
      </c>
      <c r="J199" s="655">
        <v>0.37934754092555556</v>
      </c>
      <c r="K199" s="656">
        <v>0.38299715322784744</v>
      </c>
      <c r="N199" s="655">
        <v>0.40530047925273749</v>
      </c>
      <c r="O199" s="656">
        <v>0.39644347792893364</v>
      </c>
      <c r="R199" s="655">
        <v>0.43136185317172093</v>
      </c>
      <c r="S199" s="656">
        <v>0.40655097254789219</v>
      </c>
      <c r="V199" s="655">
        <v>0.45485808100000003</v>
      </c>
      <c r="W199" s="656">
        <v>0.412906247</v>
      </c>
      <c r="Z199" s="655">
        <v>0.34317623279606557</v>
      </c>
      <c r="AA199" s="656">
        <v>0.35729632584488452</v>
      </c>
      <c r="AC199" s="655">
        <v>0.38030371842692379</v>
      </c>
      <c r="AD199" s="656">
        <v>0.3821307645547613</v>
      </c>
      <c r="AG199" s="655">
        <v>0.30756752096753248</v>
      </c>
      <c r="AH199" s="656">
        <v>0.33326290404905157</v>
      </c>
      <c r="AK199" s="657">
        <v>0.30910810235331426</v>
      </c>
      <c r="AL199" s="658">
        <v>0.3319875182275126</v>
      </c>
      <c r="AM199" s="646"/>
    </row>
    <row r="200" spans="2:39">
      <c r="B200" s="655">
        <v>0.31031864058965558</v>
      </c>
      <c r="C200" s="656">
        <v>0.33037733831270832</v>
      </c>
      <c r="F200" s="655">
        <v>0.34207546599999999</v>
      </c>
      <c r="G200" s="656">
        <v>0.35774116299999997</v>
      </c>
      <c r="J200" s="655">
        <v>0.37924462734431269</v>
      </c>
      <c r="K200" s="656">
        <v>0.38287108517385765</v>
      </c>
      <c r="N200" s="655">
        <v>0.40519379280718149</v>
      </c>
      <c r="O200" s="656">
        <v>0.39631782832928086</v>
      </c>
      <c r="R200" s="655">
        <v>0.43126790603930948</v>
      </c>
      <c r="S200" s="656">
        <v>0.40644103317813246</v>
      </c>
      <c r="V200" s="655">
        <v>0.45477780899999998</v>
      </c>
      <c r="W200" s="656">
        <v>0.412798628</v>
      </c>
      <c r="Z200" s="655">
        <v>0.34312266172573896</v>
      </c>
      <c r="AA200" s="656">
        <v>0.35721838535014605</v>
      </c>
      <c r="AC200" s="655">
        <v>0.38023413436639331</v>
      </c>
      <c r="AD200" s="656">
        <v>0.38204812431737006</v>
      </c>
      <c r="AG200" s="655">
        <v>0.30743512901659603</v>
      </c>
      <c r="AH200" s="656">
        <v>0.33307720190945367</v>
      </c>
      <c r="AK200" s="657">
        <v>0.30899773431609268</v>
      </c>
      <c r="AL200" s="658">
        <v>0.33182889718784719</v>
      </c>
      <c r="AM200" s="646"/>
    </row>
    <row r="201" spans="2:39">
      <c r="B201" s="655">
        <v>0.31025302330859289</v>
      </c>
      <c r="C201" s="656">
        <v>0.33028150245056664</v>
      </c>
      <c r="F201" s="655">
        <v>0.34199734399999998</v>
      </c>
      <c r="G201" s="656">
        <v>0.35762173000000003</v>
      </c>
      <c r="J201" s="655">
        <v>0.37914249215433526</v>
      </c>
      <c r="K201" s="656">
        <v>0.38274402071563612</v>
      </c>
      <c r="N201" s="655">
        <v>0.40508790023758329</v>
      </c>
      <c r="O201" s="656">
        <v>0.39619113762600972</v>
      </c>
      <c r="R201" s="655">
        <v>0.43117476066821608</v>
      </c>
      <c r="S201" s="656">
        <v>0.40633010655827007</v>
      </c>
      <c r="V201" s="655">
        <v>0.45469842799999999</v>
      </c>
      <c r="W201" s="656">
        <v>0.41269009699999998</v>
      </c>
      <c r="Z201" s="655">
        <v>0.34306957112793068</v>
      </c>
      <c r="AA201" s="656">
        <v>0.35713986049664609</v>
      </c>
      <c r="AC201" s="655">
        <v>0.38016502728370366</v>
      </c>
      <c r="AD201" s="656">
        <v>0.38196476881856495</v>
      </c>
      <c r="AG201" s="655">
        <v>0.30730421895248822</v>
      </c>
      <c r="AH201" s="656">
        <v>0.33289001412690761</v>
      </c>
      <c r="AK201" s="657">
        <v>0.30888837218098814</v>
      </c>
      <c r="AL201" s="658">
        <v>0.33166917075094438</v>
      </c>
      <c r="AM201" s="646"/>
    </row>
    <row r="202" spans="2:39">
      <c r="B202" s="655">
        <v>0.31018802955645985</v>
      </c>
      <c r="C202" s="656">
        <v>0.33018503254261455</v>
      </c>
      <c r="F202" s="655">
        <v>0.34192001500000002</v>
      </c>
      <c r="G202" s="656">
        <v>0.35750153000000001</v>
      </c>
      <c r="J202" s="655">
        <v>0.37904116646699143</v>
      </c>
      <c r="K202" s="656">
        <v>0.38261599855824785</v>
      </c>
      <c r="N202" s="655">
        <v>0.40498283379984545</v>
      </c>
      <c r="O202" s="656">
        <v>0.39606344441033575</v>
      </c>
      <c r="R202" s="655">
        <v>0.4310824454314231</v>
      </c>
      <c r="S202" s="656">
        <v>0.40621822647762801</v>
      </c>
      <c r="V202" s="655">
        <v>0.45461995999999999</v>
      </c>
      <c r="W202" s="656">
        <v>0.412580685</v>
      </c>
      <c r="Z202" s="655">
        <v>0.34301697717455115</v>
      </c>
      <c r="AA202" s="656">
        <v>0.35706077520381574</v>
      </c>
      <c r="AC202" s="655">
        <v>0.38009641822954182</v>
      </c>
      <c r="AD202" s="656">
        <v>0.3818807234492384</v>
      </c>
      <c r="AG202" s="655">
        <v>0.30717483065168266</v>
      </c>
      <c r="AH202" s="656">
        <v>0.33270139772062529</v>
      </c>
      <c r="AK202" s="657">
        <v>0.30878004926076646</v>
      </c>
      <c r="AL202" s="658">
        <v>0.33150838757102424</v>
      </c>
      <c r="AM202" s="646"/>
    </row>
    <row r="203" spans="2:39">
      <c r="B203" s="655">
        <v>0.3101236791309831</v>
      </c>
      <c r="C203" s="656">
        <v>0.33008795797452056</v>
      </c>
      <c r="F203" s="655">
        <v>0.34184350200000002</v>
      </c>
      <c r="G203" s="656">
        <v>0.35738059799999999</v>
      </c>
      <c r="J203" s="655">
        <v>0.37894068114706725</v>
      </c>
      <c r="K203" s="656">
        <v>0.38248705769848207</v>
      </c>
      <c r="N203" s="655">
        <v>0.40487862549822268</v>
      </c>
      <c r="O203" s="656">
        <v>0.39593478757884937</v>
      </c>
      <c r="R203" s="655">
        <v>0.43099098844904604</v>
      </c>
      <c r="S203" s="656">
        <v>0.40610542701596264</v>
      </c>
      <c r="V203" s="655">
        <v>0.454542432</v>
      </c>
      <c r="W203" s="656">
        <v>0.412470426</v>
      </c>
      <c r="Z203" s="655">
        <v>0.34296489588622808</v>
      </c>
      <c r="AA203" s="656">
        <v>0.35698115356180127</v>
      </c>
      <c r="AC203" s="655">
        <v>0.38002832810289017</v>
      </c>
      <c r="AD203" s="656">
        <v>0.38179601381042405</v>
      </c>
      <c r="AG203" s="655">
        <v>0.30704700352710923</v>
      </c>
      <c r="AH203" s="656">
        <v>0.3325114101449913</v>
      </c>
      <c r="AK203" s="657">
        <v>0.30867279855163848</v>
      </c>
      <c r="AL203" s="658">
        <v>0.33134659662420096</v>
      </c>
      <c r="AM203" s="646"/>
    </row>
    <row r="204" spans="2:39">
      <c r="B204" s="655">
        <v>0.3100599916339255</v>
      </c>
      <c r="C204" s="656">
        <v>0.32999030831613846</v>
      </c>
      <c r="F204" s="655">
        <v>0.34176782900000002</v>
      </c>
      <c r="G204" s="656">
        <v>0.35725897099999998</v>
      </c>
      <c r="J204" s="655">
        <v>0.37884106680336443</v>
      </c>
      <c r="K204" s="656">
        <v>0.38235723741297378</v>
      </c>
      <c r="N204" s="655">
        <v>0.40477530707557319</v>
      </c>
      <c r="O204" s="656">
        <v>0.39580520632166788</v>
      </c>
      <c r="R204" s="655">
        <v>0.4309004175797676</v>
      </c>
      <c r="S204" s="656">
        <v>0.40599174253308273</v>
      </c>
      <c r="V204" s="655">
        <v>0.454465864</v>
      </c>
      <c r="W204" s="656">
        <v>0.41235935299999998</v>
      </c>
      <c r="Z204" s="655">
        <v>0.34291334312742638</v>
      </c>
      <c r="AA204" s="656">
        <v>0.3569010198241262</v>
      </c>
      <c r="AC204" s="655">
        <v>0.37996077764466096</v>
      </c>
      <c r="AD204" s="656">
        <v>0.38171066570549855</v>
      </c>
      <c r="AG204" s="655">
        <v>0.30692077651614841</v>
      </c>
      <c r="AH204" s="656">
        <v>0.33232010927206157</v>
      </c>
      <c r="AK204" s="657">
        <v>0.30856665272320916</v>
      </c>
      <c r="AL204" s="658">
        <v>0.33118384719356408</v>
      </c>
      <c r="AM204" s="646"/>
    </row>
    <row r="205" spans="2:39">
      <c r="B205" s="655">
        <v>0.30999698646511564</v>
      </c>
      <c r="C205" s="656">
        <v>0.32989211331250018</v>
      </c>
      <c r="F205" s="655">
        <v>0.34169301800000002</v>
      </c>
      <c r="G205" s="656">
        <v>0.35713668599999998</v>
      </c>
      <c r="J205" s="655">
        <v>0.37874235377937721</v>
      </c>
      <c r="K205" s="656">
        <v>0.3822265772462396</v>
      </c>
      <c r="N205" s="655">
        <v>0.40467291000368927</v>
      </c>
      <c r="O205" s="656">
        <v>0.39567474011049741</v>
      </c>
      <c r="R205" s="655">
        <v>0.43081076041235195</v>
      </c>
      <c r="S205" s="656">
        <v>0.40587720765838303</v>
      </c>
      <c r="V205" s="655">
        <v>0.45439028300000001</v>
      </c>
      <c r="W205" s="656">
        <v>0.41224750100000002</v>
      </c>
      <c r="Z205" s="655">
        <v>0.3428623346016158</v>
      </c>
      <c r="AA205" s="656">
        <v>0.35682039840030322</v>
      </c>
      <c r="AC205" s="655">
        <v>0.37989378743137814</v>
      </c>
      <c r="AD205" s="656">
        <v>0.38162470513232138</v>
      </c>
      <c r="AG205" s="655">
        <v>0.30679618806877046</v>
      </c>
      <c r="AH205" s="656">
        <v>0.33212755337393518</v>
      </c>
      <c r="AK205" s="657">
        <v>0.30846164410852611</v>
      </c>
      <c r="AL205" s="658">
        <v>0.33102018885416695</v>
      </c>
      <c r="AM205" s="646"/>
    </row>
    <row r="206" spans="2:39">
      <c r="B206" s="655">
        <v>0.30993468281653835</v>
      </c>
      <c r="C206" s="656">
        <v>0.329793402874755</v>
      </c>
      <c r="F206" s="655">
        <v>0.34161909299999998</v>
      </c>
      <c r="G206" s="656">
        <v>0.35701378099999997</v>
      </c>
      <c r="J206" s="655">
        <v>0.37864457214404884</v>
      </c>
      <c r="K206" s="656">
        <v>0.38209511699863191</v>
      </c>
      <c r="N206" s="655">
        <v>0.40457146547371103</v>
      </c>
      <c r="O206" s="656">
        <v>0.3955434286866098</v>
      </c>
      <c r="R206" s="655">
        <v>0.43072204425724087</v>
      </c>
      <c r="S206" s="656">
        <v>0.40576185728029585</v>
      </c>
      <c r="V206" s="655">
        <v>0.45431570900000001</v>
      </c>
      <c r="W206" s="656">
        <v>0.41213490400000002</v>
      </c>
      <c r="Z206" s="655">
        <v>0.34281188584648747</v>
      </c>
      <c r="AA206" s="656">
        <v>0.35673931384839913</v>
      </c>
      <c r="AC206" s="655">
        <v>0.37982737786890963</v>
      </c>
      <c r="AD206" s="656">
        <v>0.38153815827531584</v>
      </c>
      <c r="AG206" s="655">
        <v>0.3066732761358234</v>
      </c>
      <c r="AH206" s="656">
        <v>0.33193380110500398</v>
      </c>
      <c r="AK206" s="657">
        <v>0.30835780469423058</v>
      </c>
      <c r="AL206" s="658">
        <v>0.33085567145792505</v>
      </c>
      <c r="AM206" s="646"/>
    </row>
    <row r="207" spans="2:39">
      <c r="B207" s="655">
        <v>0.30987309966648846</v>
      </c>
      <c r="C207" s="656">
        <v>0.32969420707105856</v>
      </c>
      <c r="F207" s="655">
        <v>0.34154607599999998</v>
      </c>
      <c r="G207" s="656">
        <v>0.356890294</v>
      </c>
      <c r="J207" s="655">
        <v>0.37854775168261268</v>
      </c>
      <c r="K207" s="656">
        <v>0.38196289671421574</v>
      </c>
      <c r="N207" s="655">
        <v>0.40447100438662503</v>
      </c>
      <c r="O207" s="656">
        <v>0.39541131204873681</v>
      </c>
      <c r="R207" s="655">
        <v>0.43063429613823456</v>
      </c>
      <c r="S207" s="656">
        <v>0.40564572653566383</v>
      </c>
      <c r="V207" s="655">
        <v>0.454242166</v>
      </c>
      <c r="W207" s="656">
        <v>0.41202159500000002</v>
      </c>
      <c r="Z207" s="655">
        <v>0.34276201222922087</v>
      </c>
      <c r="AA207" s="656">
        <v>0.35665779086755384</v>
      </c>
      <c r="AC207" s="655">
        <v>0.37976156918625142</v>
      </c>
      <c r="AD207" s="656">
        <v>0.38145105149749303</v>
      </c>
      <c r="AG207" s="655">
        <v>0.3065520781574726</v>
      </c>
      <c r="AH207" s="656">
        <v>0.33173891148408607</v>
      </c>
      <c r="AK207" s="657">
        <v>0.30825516611081405</v>
      </c>
      <c r="AL207" s="658">
        <v>0.33069034511843093</v>
      </c>
      <c r="AM207" s="646"/>
    </row>
    <row r="208" spans="2:39">
      <c r="B208" s="655">
        <v>0.30981225577379007</v>
      </c>
      <c r="C208" s="656">
        <v>0.32959455611741356</v>
      </c>
      <c r="F208" s="655">
        <v>0.34147399000000001</v>
      </c>
      <c r="G208" s="656">
        <v>0.35676626</v>
      </c>
      <c r="J208" s="655">
        <v>0.37845192188751925</v>
      </c>
      <c r="K208" s="656">
        <v>0.3818299566685705</v>
      </c>
      <c r="N208" s="655">
        <v>0.40437155734385161</v>
      </c>
      <c r="O208" s="656">
        <v>0.39527843044088606</v>
      </c>
      <c r="R208" s="655">
        <v>0.43054754278426016</v>
      </c>
      <c r="S208" s="656">
        <v>0.40552885079903678</v>
      </c>
      <c r="V208" s="655">
        <v>0.45416967600000002</v>
      </c>
      <c r="W208" s="656">
        <v>0.41190760900000001</v>
      </c>
      <c r="Z208" s="655">
        <v>0.34271272894180288</v>
      </c>
      <c r="AA208" s="656">
        <v>0.35657585429045713</v>
      </c>
      <c r="AC208" s="655">
        <v>0.37969638142936585</v>
      </c>
      <c r="AD208" s="656">
        <v>0.38136341133242124</v>
      </c>
      <c r="AG208" s="655">
        <v>0.30643263105179647</v>
      </c>
      <c r="AH208" s="656">
        <v>0.33154294387644795</v>
      </c>
      <c r="AK208" s="657">
        <v>0.30815375962298341</v>
      </c>
      <c r="AL208" s="658">
        <v>0.33052426019568926</v>
      </c>
      <c r="AM208" s="646"/>
    </row>
    <row r="209" spans="2:39">
      <c r="B209" s="655">
        <v>0.3097521696720823</v>
      </c>
      <c r="C209" s="656">
        <v>0.32949448036846585</v>
      </c>
      <c r="F209" s="655">
        <v>0.34140285500000001</v>
      </c>
      <c r="G209" s="656">
        <v>0.35664172</v>
      </c>
      <c r="J209" s="655">
        <v>0.37835711194945248</v>
      </c>
      <c r="K209" s="656">
        <v>0.38169633735652198</v>
      </c>
      <c r="N209" s="655">
        <v>0.40427315463792329</v>
      </c>
      <c r="O209" s="656">
        <v>0.39514482434008269</v>
      </c>
      <c r="R209" s="655">
        <v>0.43046181062122962</v>
      </c>
      <c r="S209" s="656">
        <v>0.40541126567189628</v>
      </c>
      <c r="V209" s="655">
        <v>0.45409826199999997</v>
      </c>
      <c r="W209" s="656">
        <v>0.41179298199999997</v>
      </c>
      <c r="Z209" s="655">
        <v>0.3426640509964004</v>
      </c>
      <c r="AA209" s="656">
        <v>0.35649352907578402</v>
      </c>
      <c r="AC209" s="655">
        <v>0.37963183445507509</v>
      </c>
      <c r="AD209" s="656">
        <v>0.38127526447614379</v>
      </c>
      <c r="AG209" s="655">
        <v>0.3063149712035404</v>
      </c>
      <c r="AH209" s="656">
        <v>0.33134595797572119</v>
      </c>
      <c r="AK209" s="657">
        <v>0.30805361612013715</v>
      </c>
      <c r="AL209" s="658">
        <v>0.33035746728077642</v>
      </c>
      <c r="AM209" s="646"/>
    </row>
    <row r="210" spans="2:39">
      <c r="B210" s="655">
        <v>0.30969285966417376</v>
      </c>
      <c r="C210" s="656">
        <v>0.32939401030825793</v>
      </c>
      <c r="F210" s="655">
        <v>0.34133269500000002</v>
      </c>
      <c r="G210" s="656">
        <v>0.35651670899999999</v>
      </c>
      <c r="J210" s="655">
        <v>0.37826335074843787</v>
      </c>
      <c r="K210" s="656">
        <v>0.38156207947980691</v>
      </c>
      <c r="N210" s="655">
        <v>0.40417582624325754</v>
      </c>
      <c r="O210" s="656">
        <v>0.39501053444403927</v>
      </c>
      <c r="R210" s="655">
        <v>0.43037712576399034</v>
      </c>
      <c r="S210" s="656">
        <v>0.40529300697181109</v>
      </c>
      <c r="V210" s="655">
        <v>0.45402794499999999</v>
      </c>
      <c r="W210" s="656">
        <v>0.41167774699999998</v>
      </c>
      <c r="Z210" s="655">
        <v>0.34261599322078712</v>
      </c>
      <c r="AA210" s="656">
        <v>0.35641084030059245</v>
      </c>
      <c r="AC210" s="655">
        <v>0.37956794792501286</v>
      </c>
      <c r="AD210" s="656">
        <v>0.38118663777904699</v>
      </c>
      <c r="AG210" s="655">
        <v>0.30619913445303404</v>
      </c>
      <c r="AH210" s="656">
        <v>0.33114801378571945</v>
      </c>
      <c r="AK210" s="657">
        <v>0.30795476610695627</v>
      </c>
      <c r="AL210" s="658">
        <v>0.33019001718042995</v>
      </c>
      <c r="AM210" s="646"/>
    </row>
    <row r="211" spans="2:39">
      <c r="B211" s="655">
        <v>0.30963434381646754</v>
      </c>
      <c r="C211" s="656">
        <v>0.32929317654094353</v>
      </c>
      <c r="F211" s="655">
        <v>0.34126352900000001</v>
      </c>
      <c r="G211" s="656">
        <v>0.35639126700000001</v>
      </c>
      <c r="J211" s="655">
        <v>0.37817066684504558</v>
      </c>
      <c r="K211" s="656">
        <v>0.38142722393467526</v>
      </c>
      <c r="N211" s="655">
        <v>0.40407960180702629</v>
      </c>
      <c r="O211" s="656">
        <v>0.3948756016587589</v>
      </c>
      <c r="R211" s="655">
        <v>0.43029351400837024</v>
      </c>
      <c r="S211" s="656">
        <v>0.40517411072152687</v>
      </c>
      <c r="V211" s="655">
        <v>0.453958747</v>
      </c>
      <c r="W211" s="656">
        <v>0.41156194099999999</v>
      </c>
      <c r="Z211" s="655">
        <v>0.34256857025382698</v>
      </c>
      <c r="AA211" s="656">
        <v>0.35632781315268441</v>
      </c>
      <c r="AC211" s="655">
        <v>0.37950474129963496</v>
      </c>
      <c r="AD211" s="656">
        <v>0.38109755823768127</v>
      </c>
      <c r="AG211" s="655">
        <v>0.3060851560852737</v>
      </c>
      <c r="AH211" s="656">
        <v>0.33094917160216053</v>
      </c>
      <c r="AK211" s="657">
        <v>0.30785723969411249</v>
      </c>
      <c r="AL211" s="658">
        <v>0.33002196090157254</v>
      </c>
      <c r="AM211" s="646"/>
    </row>
    <row r="212" spans="2:39">
      <c r="B212" s="655">
        <v>0.30957663995345752</v>
      </c>
      <c r="C212" s="656">
        <v>0.3291920097814649</v>
      </c>
      <c r="F212" s="655">
        <v>0.34119537999999999</v>
      </c>
      <c r="G212" s="656">
        <v>0.35626543199999999</v>
      </c>
      <c r="J212" s="655">
        <v>0.37807908847169047</v>
      </c>
      <c r="K212" s="656">
        <v>0.38129181179943239</v>
      </c>
      <c r="N212" s="655">
        <v>0.40398451064012492</v>
      </c>
      <c r="O212" s="656">
        <v>0.39474006708607529</v>
      </c>
      <c r="R212" s="655">
        <v>0.43021100082331992</v>
      </c>
      <c r="S212" s="656">
        <v>0.40505461313799324</v>
      </c>
      <c r="V212" s="655">
        <v>0.45389068799999999</v>
      </c>
      <c r="W212" s="656">
        <v>0.411445597</v>
      </c>
      <c r="Z212" s="655">
        <v>0.34252179654101517</v>
      </c>
      <c r="AA212" s="656">
        <v>0.35624447292293338</v>
      </c>
      <c r="AC212" s="655">
        <v>0.37944223383229192</v>
      </c>
      <c r="AD212" s="656">
        <v>0.38100805298653795</v>
      </c>
      <c r="AG212" s="655">
        <v>0.3059730708191743</v>
      </c>
      <c r="AH212" s="656">
        <v>0.33074949199429976</v>
      </c>
      <c r="AK212" s="657">
        <v>0.30776106658909586</v>
      </c>
      <c r="AL212" s="658">
        <v>0.32985334963577484</v>
      </c>
      <c r="AM212" s="646"/>
    </row>
    <row r="213" spans="2:39">
      <c r="B213" s="655">
        <v>0.30951976565229949</v>
      </c>
      <c r="C213" s="656">
        <v>0.32909054084619704</v>
      </c>
      <c r="F213" s="655">
        <v>0.34112826899999998</v>
      </c>
      <c r="G213" s="656">
        <v>0.35613924200000002</v>
      </c>
      <c r="J213" s="655">
        <v>0.37798864352403211</v>
      </c>
      <c r="K213" s="656">
        <v>0.38115588432192649</v>
      </c>
      <c r="N213" s="655">
        <v>0.40389058170824405</v>
      </c>
      <c r="O213" s="656">
        <v>0.39460397201113206</v>
      </c>
      <c r="R213" s="655">
        <v>0.43012961134315503</v>
      </c>
      <c r="S213" s="656">
        <v>0.40493455062133171</v>
      </c>
      <c r="V213" s="655">
        <v>0.45382378899999998</v>
      </c>
      <c r="W213" s="656">
        <v>0.41132875299999999</v>
      </c>
      <c r="Z213" s="655">
        <v>0.34247568633007769</v>
      </c>
      <c r="AA213" s="656">
        <v>0.35616084499758072</v>
      </c>
      <c r="AC213" s="655">
        <v>0.37938044456336373</v>
      </c>
      <c r="AD213" s="656">
        <v>0.38091814928978351</v>
      </c>
      <c r="AG213" s="655">
        <v>0.30586291279699374</v>
      </c>
      <c r="AH213" s="656">
        <v>0.33054903578648009</v>
      </c>
      <c r="AK213" s="657">
        <v>0.30766627608716585</v>
      </c>
      <c r="AL213" s="658">
        <v>0.32968423474366176</v>
      </c>
      <c r="AM213" s="646"/>
    </row>
    <row r="214" spans="2:39">
      <c r="B214" s="655">
        <v>0.30946373823745654</v>
      </c>
      <c r="C214" s="656">
        <v>0.32898880064356056</v>
      </c>
      <c r="F214" s="655">
        <v>0.34106221399999997</v>
      </c>
      <c r="G214" s="656">
        <v>0.35601273500000002</v>
      </c>
      <c r="J214" s="655">
        <v>0.37789935955247778</v>
      </c>
      <c r="K214" s="656">
        <v>0.3810194829069839</v>
      </c>
      <c r="N214" s="655">
        <v>0.40379784362304622</v>
      </c>
      <c r="O214" s="656">
        <v>0.39446735788980752</v>
      </c>
      <c r="R214" s="655">
        <v>0.4300493703598996</v>
      </c>
      <c r="S214" s="656">
        <v>0.40481395974374795</v>
      </c>
      <c r="V214" s="655">
        <v>0.45375807099999999</v>
      </c>
      <c r="W214" s="656">
        <v>0.41121144300000001</v>
      </c>
      <c r="Z214" s="655">
        <v>0.34243025366663143</v>
      </c>
      <c r="AA214" s="656">
        <v>0.35607695485050261</v>
      </c>
      <c r="AC214" s="655">
        <v>0.37931939231446027</v>
      </c>
      <c r="AD214" s="656">
        <v>0.38082787453295491</v>
      </c>
      <c r="AG214" s="655">
        <v>0.30575471557393269</v>
      </c>
      <c r="AH214" s="656">
        <v>0.3303478640396042</v>
      </c>
      <c r="AK214" s="657">
        <v>0.30757289706242757</v>
      </c>
      <c r="AL214" s="658">
        <v>0.32951466773926757</v>
      </c>
      <c r="AM214" s="646"/>
    </row>
    <row r="215" spans="2:39">
      <c r="B215" s="655">
        <v>0.30940857477542194</v>
      </c>
      <c r="C215" s="656">
        <v>0.32888682016460674</v>
      </c>
      <c r="F215" s="655">
        <v>0.34099723700000001</v>
      </c>
      <c r="G215" s="656">
        <v>0.35588595000000001</v>
      </c>
      <c r="J215" s="655">
        <v>0.37781126375379015</v>
      </c>
      <c r="K215" s="656">
        <v>0.38088264910379699</v>
      </c>
      <c r="N215" s="655">
        <v>0.40370632463345058</v>
      </c>
      <c r="O215" s="656">
        <v>0.39433026633608637</v>
      </c>
      <c r="R215" s="655">
        <v>0.42997030231573435</v>
      </c>
      <c r="S215" s="656">
        <v>0.40469287723839154</v>
      </c>
      <c r="V215" s="655">
        <v>0.453693554</v>
      </c>
      <c r="W215" s="656">
        <v>0.41109370200000001</v>
      </c>
      <c r="Z215" s="655">
        <v>0.34238551238990589</v>
      </c>
      <c r="AA215" s="656">
        <v>0.35599282803545046</v>
      </c>
      <c r="AC215" s="655">
        <v>0.37925909568268806</v>
      </c>
      <c r="AD215" s="656">
        <v>0.38073725621461763</v>
      </c>
      <c r="AG215" s="655">
        <v>0.30564851210791338</v>
      </c>
      <c r="AH215" s="656">
        <v>0.33014603803253501</v>
      </c>
      <c r="AK215" s="657">
        <v>0.30748095795903652</v>
      </c>
      <c r="AL215" s="658">
        <v>0.32934470027434459</v>
      </c>
      <c r="AM215" s="646"/>
    </row>
    <row r="216" spans="2:39">
      <c r="B216" s="655">
        <v>0.30935429206952059</v>
      </c>
      <c r="C216" s="656">
        <v>0.32878463047357742</v>
      </c>
      <c r="F216" s="655">
        <v>0.34093335800000002</v>
      </c>
      <c r="G216" s="656">
        <v>0.35575892599999998</v>
      </c>
      <c r="J216" s="655">
        <v>0.37772438296280286</v>
      </c>
      <c r="K216" s="656">
        <v>0.38074542459326777</v>
      </c>
      <c r="N216" s="655">
        <v>0.40361605261702793</v>
      </c>
      <c r="O216" s="656">
        <v>0.39419273910938402</v>
      </c>
      <c r="R216" s="655">
        <v>0.42989243129555166</v>
      </c>
      <c r="S216" s="656">
        <v>0.40457133998816641</v>
      </c>
      <c r="V216" s="655">
        <v>0.45363025800000001</v>
      </c>
      <c r="W216" s="656">
        <v>0.41097556800000001</v>
      </c>
      <c r="Z216" s="655">
        <v>0.34234147612852733</v>
      </c>
      <c r="AA216" s="656">
        <v>0.3559084901782672</v>
      </c>
      <c r="AC216" s="655">
        <v>0.37919957303498519</v>
      </c>
      <c r="AD216" s="656">
        <v>0.38064632193798925</v>
      </c>
      <c r="AG216" s="655">
        <v>0.30554433474954046</v>
      </c>
      <c r="AH216" s="656">
        <v>0.32994361924342946</v>
      </c>
      <c r="AK216" s="657">
        <v>0.30739048678253428</v>
      </c>
      <c r="AL216" s="658">
        <v>0.32917438412262906</v>
      </c>
      <c r="AM216" s="646"/>
    </row>
    <row r="217" spans="2:39">
      <c r="B217" s="655">
        <v>0.30930090665479054</v>
      </c>
      <c r="C217" s="656">
        <v>0.32868226269844242</v>
      </c>
      <c r="F217" s="655">
        <v>0.34087059600000003</v>
      </c>
      <c r="G217" s="656">
        <v>0.35563170100000002</v>
      </c>
      <c r="J217" s="655">
        <v>0.37763874364424649</v>
      </c>
      <c r="K217" s="656">
        <v>0.38060785117531148</v>
      </c>
      <c r="N217" s="655">
        <v>0.40352705507150893</v>
      </c>
      <c r="O217" s="656">
        <v>0.39405481810182585</v>
      </c>
      <c r="R217" s="655">
        <v>0.42981578101961848</v>
      </c>
      <c r="S217" s="656">
        <v>0.40444938501449645</v>
      </c>
      <c r="V217" s="655">
        <v>0.453568201</v>
      </c>
      <c r="W217" s="656">
        <v>0.41085707599999999</v>
      </c>
      <c r="Z217" s="655">
        <v>0.34229815829636756</v>
      </c>
      <c r="AA217" s="656">
        <v>0.35582396696908103</v>
      </c>
      <c r="AC217" s="655">
        <v>0.37914084250252678</v>
      </c>
      <c r="AD217" s="656">
        <v>0.38055509940253129</v>
      </c>
      <c r="AG217" s="655">
        <v>0.30544221523224641</v>
      </c>
      <c r="AH217" s="656">
        <v>0.32974066933101148</v>
      </c>
      <c r="AK217" s="657">
        <v>0.30730151109131759</v>
      </c>
      <c r="AL217" s="658">
        <v>0.32900377116407076</v>
      </c>
      <c r="AM217" s="646"/>
    </row>
    <row r="218" spans="2:39">
      <c r="B218" s="655">
        <v>0.30924843479294639</v>
      </c>
      <c r="C218" s="656">
        <v>0.32857974802141771</v>
      </c>
      <c r="F218" s="655">
        <v>0.34080896900000002</v>
      </c>
      <c r="G218" s="656">
        <v>0.35550431399999999</v>
      </c>
      <c r="J218" s="655">
        <v>0.37755437188468705</v>
      </c>
      <c r="K218" s="656">
        <v>0.38046997075612393</v>
      </c>
      <c r="N218" s="655">
        <v>0.40343935910640805</v>
      </c>
      <c r="O218" s="656">
        <v>0.39391654532548687</v>
      </c>
      <c r="R218" s="655">
        <v>0.42974037483635141</v>
      </c>
      <c r="S218" s="656">
        <v>0.40432704946604797</v>
      </c>
      <c r="V218" s="655">
        <v>0.453507402</v>
      </c>
      <c r="W218" s="656">
        <v>0.41073826200000002</v>
      </c>
      <c r="Z218" s="655">
        <v>0.34225557208845786</v>
      </c>
      <c r="AA218" s="656">
        <v>0.35573928415448031</v>
      </c>
      <c r="AC218" s="655">
        <v>0.37908292197520188</v>
      </c>
      <c r="AD218" s="656">
        <v>0.38046361639551185</v>
      </c>
      <c r="AG218" s="655">
        <v>0.30534218466262542</v>
      </c>
      <c r="AH218" s="656">
        <v>0.32953725011579055</v>
      </c>
      <c r="AK218" s="657">
        <v>0.30721405798824392</v>
      </c>
      <c r="AL218" s="658">
        <v>0.32883291336902948</v>
      </c>
      <c r="AM218" s="646"/>
    </row>
    <row r="219" spans="2:39">
      <c r="B219" s="655">
        <v>0.30919689246742543</v>
      </c>
      <c r="C219" s="656">
        <v>0.32847711766946691</v>
      </c>
      <c r="F219" s="655">
        <v>0.34074849800000001</v>
      </c>
      <c r="G219" s="656">
        <v>0.35537680399999999</v>
      </c>
      <c r="J219" s="655">
        <v>0.37747129338457985</v>
      </c>
      <c r="K219" s="656">
        <v>0.38033182533541643</v>
      </c>
      <c r="N219" s="655">
        <v>0.40335299143476588</v>
      </c>
      <c r="O219" s="656">
        <v>0.39377796289959432</v>
      </c>
      <c r="R219" s="655">
        <v>0.42966623571520446</v>
      </c>
      <c r="S219" s="656">
        <v>0.40420437060741421</v>
      </c>
      <c r="V219" s="655">
        <v>0.453447881</v>
      </c>
      <c r="W219" s="656">
        <v>0.41061916100000001</v>
      </c>
      <c r="Z219" s="655">
        <v>0.34221373047696974</v>
      </c>
      <c r="AA219" s="656">
        <v>0.35565446752967067</v>
      </c>
      <c r="AC219" s="655">
        <v>0.37902582909616428</v>
      </c>
      <c r="AD219" s="656">
        <v>0.38037190078354099</v>
      </c>
      <c r="AG219" s="655">
        <v>0.30524427351095812</v>
      </c>
      <c r="AH219" s="656">
        <v>0.32933342356123008</v>
      </c>
      <c r="AK219" s="657">
        <v>0.30712815411237571</v>
      </c>
      <c r="AL219" s="658">
        <v>0.32866186278244491</v>
      </c>
      <c r="AM219" s="646"/>
    </row>
    <row r="220" spans="2:39">
      <c r="B220" s="655">
        <v>0.3091462953785194</v>
      </c>
      <c r="C220" s="656">
        <v>0.32837440290478953</v>
      </c>
      <c r="F220" s="655">
        <v>0.340689199</v>
      </c>
      <c r="G220" s="656">
        <v>0.35524920999999998</v>
      </c>
      <c r="J220" s="655">
        <v>0.37738953345044085</v>
      </c>
      <c r="K220" s="656">
        <v>0.38019345699362245</v>
      </c>
      <c r="N220" s="655">
        <v>0.40326797836501183</v>
      </c>
      <c r="O220" s="656">
        <v>0.3936391130376975</v>
      </c>
      <c r="R220" s="655">
        <v>0.42959338623967203</v>
      </c>
      <c r="S220" s="656">
        <v>0.40408138580776387</v>
      </c>
      <c r="V220" s="655">
        <v>0.453389655</v>
      </c>
      <c r="W220" s="656">
        <v>0.41049981200000002</v>
      </c>
      <c r="Z220" s="655">
        <v>0.34217264620726334</v>
      </c>
      <c r="AA220" s="656">
        <v>0.35556954293061771</v>
      </c>
      <c r="AC220" s="655">
        <v>0.37896958125645802</v>
      </c>
      <c r="AD220" s="656">
        <v>0.38027998050408257</v>
      </c>
      <c r="AG220" s="655">
        <v>0.30514851160192968</v>
      </c>
      <c r="AH220" s="656">
        <v>0.32912925175487312</v>
      </c>
      <c r="AK220" s="657">
        <v>0.30704382563086563</v>
      </c>
      <c r="AL220" s="658">
        <v>0.32849067150798261</v>
      </c>
      <c r="AM220" s="646"/>
    </row>
    <row r="221" spans="2:39">
      <c r="B221" s="655">
        <v>0.30909665893859167</v>
      </c>
      <c r="C221" s="656">
        <v>0.32827163501529788</v>
      </c>
      <c r="F221" s="655">
        <v>0.34063109200000002</v>
      </c>
      <c r="G221" s="656">
        <v>0.35512157</v>
      </c>
      <c r="J221" s="655">
        <v>0.37730911698713804</v>
      </c>
      <c r="K221" s="656">
        <v>0.38005490787907925</v>
      </c>
      <c r="N221" s="655">
        <v>0.40318434579295048</v>
      </c>
      <c r="O221" s="656">
        <v>0.39350003803480943</v>
      </c>
      <c r="R221" s="655">
        <v>0.42952184860041004</v>
      </c>
      <c r="S221" s="656">
        <v>0.40395813252945828</v>
      </c>
      <c r="V221" s="655">
        <v>0.45333274200000001</v>
      </c>
      <c r="W221" s="656">
        <v>0.41038024899999997</v>
      </c>
      <c r="Z221" s="655">
        <v>0.34213233179400526</v>
      </c>
      <c r="AA221" s="656">
        <v>0.35548453622617698</v>
      </c>
      <c r="AC221" s="655">
        <v>0.37891419558971989</v>
      </c>
      <c r="AD221" s="656">
        <v>0.38018788355694427</v>
      </c>
      <c r="AG221" s="655">
        <v>0.30505492810554541</v>
      </c>
      <c r="AH221" s="656">
        <v>0.32892479688942977</v>
      </c>
      <c r="AK221" s="657">
        <v>0.30696109823098605</v>
      </c>
      <c r="AL221" s="658">
        <v>0.32831939169216318</v>
      </c>
      <c r="AM221" s="646"/>
    </row>
    <row r="222" spans="2:39">
      <c r="B222" s="655">
        <v>0.30904799826738272</v>
      </c>
      <c r="C222" s="656">
        <v>0.32816884530508661</v>
      </c>
      <c r="F222" s="655">
        <v>0.340574194</v>
      </c>
      <c r="G222" s="656">
        <v>0.35499392400000002</v>
      </c>
      <c r="J222" s="655">
        <v>0.37723006849030505</v>
      </c>
      <c r="K222" s="656">
        <v>0.37991622019518928</v>
      </c>
      <c r="N222" s="655">
        <v>0.4031021191938734</v>
      </c>
      <c r="O222" s="656">
        <v>0.39336078025452326</v>
      </c>
      <c r="R222" s="655">
        <v>0.42945164458847651</v>
      </c>
      <c r="S222" s="656">
        <v>0.40383464831664007</v>
      </c>
      <c r="V222" s="655">
        <v>0.45327715899999999</v>
      </c>
      <c r="W222" s="656">
        <v>0.410260509</v>
      </c>
      <c r="Z222" s="655">
        <v>0.34209279951735627</v>
      </c>
      <c r="AA222" s="656">
        <v>0.3553994733102141</v>
      </c>
      <c r="AC222" s="655">
        <v>0.37885968896696059</v>
      </c>
      <c r="AD222" s="656">
        <v>0.38009563799574825</v>
      </c>
      <c r="AG222" s="655">
        <v>0.30496355152824473</v>
      </c>
      <c r="AH222" s="656">
        <v>0.32872012124383265</v>
      </c>
      <c r="AK222" s="657">
        <v>0.30687999711230451</v>
      </c>
      <c r="AL222" s="658">
        <v>0.32814807550847774</v>
      </c>
      <c r="AM222" s="646"/>
    </row>
    <row r="223" spans="2:39">
      <c r="B223" s="655">
        <v>0.30900032818740436</v>
      </c>
      <c r="C223" s="656">
        <v>0.32806606508489722</v>
      </c>
      <c r="F223" s="655">
        <v>0.34051852199999999</v>
      </c>
      <c r="G223" s="656">
        <v>0.35486631000000002</v>
      </c>
      <c r="J223" s="655">
        <v>0.37715241203887984</v>
      </c>
      <c r="K223" s="656">
        <v>0.37977743618756454</v>
      </c>
      <c r="N223" s="655">
        <v>0.40302132361479931</v>
      </c>
      <c r="O223" s="656">
        <v>0.39322138211610791</v>
      </c>
      <c r="R223" s="655">
        <v>0.42938279558869358</v>
      </c>
      <c r="S223" s="656">
        <v>0.40371097078379659</v>
      </c>
      <c r="V223" s="655">
        <v>0.453222923</v>
      </c>
      <c r="W223" s="656">
        <v>0.41014062899999998</v>
      </c>
      <c r="Z223" s="655">
        <v>0.34205406141923084</v>
      </c>
      <c r="AA223" s="656">
        <v>0.3553143800937173</v>
      </c>
      <c r="AC223" s="655">
        <v>0.37880607799142535</v>
      </c>
      <c r="AD223" s="656">
        <v>0.38000327191938615</v>
      </c>
      <c r="AG223" s="655">
        <v>0.30487440970421831</v>
      </c>
      <c r="AH223" s="656">
        <v>0.32851528716426615</v>
      </c>
      <c r="AK223" s="657">
        <v>0.30680054697900722</v>
      </c>
      <c r="AL223" s="658">
        <v>0.32797677514149542</v>
      </c>
      <c r="AM223" s="646"/>
    </row>
    <row r="224" spans="2:39">
      <c r="B224" s="655">
        <v>0.30895366321942475</v>
      </c>
      <c r="C224" s="656">
        <v>0.32796332566258046</v>
      </c>
      <c r="F224" s="655">
        <v>0.34046409300000002</v>
      </c>
      <c r="G224" s="656">
        <v>0.35473876700000001</v>
      </c>
      <c r="J224" s="655">
        <v>0.37707617128776982</v>
      </c>
      <c r="K224" s="656">
        <v>0.37963859813115824</v>
      </c>
      <c r="N224" s="655">
        <v>0.40294198366684419</v>
      </c>
      <c r="O224" s="656">
        <v>0.39308188608158667</v>
      </c>
      <c r="R224" s="655">
        <v>0.42931532257313337</v>
      </c>
      <c r="S224" s="656">
        <v>0.40358713760430248</v>
      </c>
      <c r="V224" s="655">
        <v>0.45317005199999999</v>
      </c>
      <c r="W224" s="656">
        <v>0.41002064599999999</v>
      </c>
      <c r="Z224" s="655">
        <v>0.34201612929962882</v>
      </c>
      <c r="AA224" s="656">
        <v>0.35522928249690461</v>
      </c>
      <c r="AC224" s="655">
        <v>0.37875337899353667</v>
      </c>
      <c r="AD224" s="656">
        <v>0.37991081346345951</v>
      </c>
      <c r="AG224" s="655">
        <v>0.3047875297869293</v>
      </c>
      <c r="AH224" s="656">
        <v>0.32831035704517508</v>
      </c>
      <c r="AK224" s="657">
        <v>0.30672277203237458</v>
      </c>
      <c r="AL224" s="658">
        <v>0.32780554277096741</v>
      </c>
      <c r="AM224" s="646"/>
    </row>
    <row r="225" spans="2:39">
      <c r="B225" s="655">
        <v>0.3089080175780452</v>
      </c>
      <c r="C225" s="656">
        <v>0.32786065833355954</v>
      </c>
      <c r="F225" s="655">
        <v>0.34041092499999998</v>
      </c>
      <c r="G225" s="656">
        <v>0.354611334</v>
      </c>
      <c r="J225" s="655">
        <v>0.37700136946064627</v>
      </c>
      <c r="K225" s="656">
        <v>0.37949974831738731</v>
      </c>
      <c r="N225" s="655">
        <v>0.40286412351772483</v>
      </c>
      <c r="O225" s="656">
        <v>0.39294233464280304</v>
      </c>
      <c r="R225" s="655">
        <v>0.4292492460947302</v>
      </c>
      <c r="S225" s="656">
        <v>0.4034631864989438</v>
      </c>
      <c r="V225" s="655">
        <v>0.45311856</v>
      </c>
      <c r="W225" s="656">
        <v>0.40990059499999998</v>
      </c>
      <c r="Z225" s="655">
        <v>0.34197901471304143</v>
      </c>
      <c r="AA225" s="656">
        <v>0.35514420644132849</v>
      </c>
      <c r="AC225" s="655">
        <v>0.3787016080259199</v>
      </c>
      <c r="AD225" s="656">
        <v>0.3798182907917097</v>
      </c>
      <c r="AG225" s="655">
        <v>0.3047029382408421</v>
      </c>
      <c r="AH225" s="656">
        <v>0.32810539331025906</v>
      </c>
      <c r="AK225" s="657">
        <v>0.30664669596340866</v>
      </c>
      <c r="AL225" s="658">
        <v>0.32763443055593261</v>
      </c>
      <c r="AM225" s="646"/>
    </row>
    <row r="226" spans="2:39">
      <c r="B226" s="655">
        <v>0.30886340516737026</v>
      </c>
      <c r="C226" s="656">
        <v>0.32775809437129755</v>
      </c>
      <c r="F226" s="655">
        <v>0.34035903200000001</v>
      </c>
      <c r="G226" s="656">
        <v>0.35448404999999999</v>
      </c>
      <c r="J226" s="655">
        <v>0.3769280293428704</v>
      </c>
      <c r="K226" s="656">
        <v>0.37936092904125002</v>
      </c>
      <c r="N226" s="655">
        <v>0.40278776688439688</v>
      </c>
      <c r="O226" s="656">
        <v>0.3928027703084771</v>
      </c>
      <c r="R226" s="655">
        <v>0.42918458628101946</v>
      </c>
      <c r="S226" s="656">
        <v>0.40333915522442804</v>
      </c>
      <c r="V226" s="655">
        <v>0.45306846299999998</v>
      </c>
      <c r="W226" s="656">
        <v>0.40978051399999998</v>
      </c>
      <c r="Z226" s="655">
        <v>0.34194272896493122</v>
      </c>
      <c r="AA226" s="656">
        <v>0.35505917784197949</v>
      </c>
      <c r="AC226" s="655">
        <v>0.37865078085851317</v>
      </c>
      <c r="AD226" s="656">
        <v>0.37972573208743882</v>
      </c>
      <c r="AG226" s="655">
        <v>0.30462066083336115</v>
      </c>
      <c r="AH226" s="656">
        <v>0.32790045839345722</v>
      </c>
      <c r="AK226" s="657">
        <v>0.30657234194561711</v>
      </c>
      <c r="AL226" s="658">
        <v>0.32746349061882923</v>
      </c>
      <c r="AM226" s="646"/>
    </row>
    <row r="227" spans="2:39">
      <c r="B227" s="655">
        <v>0.30881983957677239</v>
      </c>
      <c r="C227" s="656">
        <v>0.32765566501777083</v>
      </c>
      <c r="F227" s="655">
        <v>0.34030843100000002</v>
      </c>
      <c r="G227" s="656">
        <v>0.354356954</v>
      </c>
      <c r="J227" s="655">
        <v>0.37685617327455251</v>
      </c>
      <c r="K227" s="656">
        <v>0.3792221825884427</v>
      </c>
      <c r="N227" s="655">
        <v>0.4027129370258305</v>
      </c>
      <c r="O227" s="656">
        <v>0.3926632355912571</v>
      </c>
      <c r="R227" s="655">
        <v>0.42912136282800672</v>
      </c>
      <c r="S227" s="656">
        <v>0.4032150815618829</v>
      </c>
      <c r="V227" s="655">
        <v>0.45301977799999998</v>
      </c>
      <c r="W227" s="656">
        <v>0.40966043800000002</v>
      </c>
      <c r="Z227" s="655">
        <v>0.34190728310828861</v>
      </c>
      <c r="AA227" s="656">
        <v>0.35497422259939276</v>
      </c>
      <c r="AC227" s="655">
        <v>0.37860091297376414</v>
      </c>
      <c r="AD227" s="656">
        <v>0.37963316554492482</v>
      </c>
      <c r="AG227" s="655">
        <v>0.30454072262698179</v>
      </c>
      <c r="AH227" s="656">
        <v>0.32769561471993042</v>
      </c>
      <c r="AK227" s="657">
        <v>0.30649973262795399</v>
      </c>
      <c r="AL227" s="658">
        <v>0.32729277502961807</v>
      </c>
      <c r="AM227" s="646"/>
    </row>
    <row r="228" spans="2:39">
      <c r="B228" s="655">
        <v>0.30877733407675251</v>
      </c>
      <c r="C228" s="656">
        <v>0.32755340147395284</v>
      </c>
      <c r="F228" s="655">
        <v>0.34025913699999999</v>
      </c>
      <c r="G228" s="656">
        <v>0.35423008299999997</v>
      </c>
      <c r="J228" s="655">
        <v>0.37678582314374709</v>
      </c>
      <c r="K228" s="656">
        <v>0.37908355122247894</v>
      </c>
      <c r="N228" s="655">
        <v>0.40263965673592556</v>
      </c>
      <c r="O228" s="656">
        <v>0.39252377299476954</v>
      </c>
      <c r="R228" s="655">
        <v>0.42905959499416829</v>
      </c>
      <c r="S228" s="656">
        <v>0.40309100330534786</v>
      </c>
      <c r="V228" s="655">
        <v>0.45297251799999999</v>
      </c>
      <c r="W228" s="656">
        <v>0.409540405</v>
      </c>
      <c r="Z228" s="655">
        <v>0.34187268794026482</v>
      </c>
      <c r="AA228" s="656">
        <v>0.35488936659175813</v>
      </c>
      <c r="AC228" s="655">
        <v>0.37855201956191359</v>
      </c>
      <c r="AD228" s="656">
        <v>0.37954061936083333</v>
      </c>
      <c r="AG228" s="655">
        <v>0.30446314797165608</v>
      </c>
      <c r="AH228" s="656">
        <v>0.32749092468704605</v>
      </c>
      <c r="AK228" s="657">
        <v>0.30642889012792085</v>
      </c>
      <c r="AL228" s="658">
        <v>0.32712233578992139</v>
      </c>
      <c r="AM228" s="646"/>
    </row>
    <row r="229" spans="2:39">
      <c r="B229" s="655">
        <v>0.30873590161489767</v>
      </c>
      <c r="C229" s="656">
        <v>0.32745133489030959</v>
      </c>
      <c r="F229" s="655">
        <v>0.34021116600000001</v>
      </c>
      <c r="G229" s="656">
        <v>0.35410347800000003</v>
      </c>
      <c r="J229" s="655">
        <v>0.37671700037978556</v>
      </c>
      <c r="K229" s="656">
        <v>0.37894507717181575</v>
      </c>
      <c r="N229" s="655">
        <v>0.40256794833656823</v>
      </c>
      <c r="O229" s="656">
        <v>0.39238442500067239</v>
      </c>
      <c r="R229" s="655">
        <v>0.42899930159458471</v>
      </c>
      <c r="S229" s="656">
        <v>0.40296695825026191</v>
      </c>
      <c r="V229" s="655">
        <v>0.45292669800000002</v>
      </c>
      <c r="W229" s="656">
        <v>0.40942045100000002</v>
      </c>
      <c r="Z229" s="655">
        <v>0.34183895399888325</v>
      </c>
      <c r="AA229" s="656">
        <v>0.35480463566703752</v>
      </c>
      <c r="AC229" s="655">
        <v>0.37850411551636831</v>
      </c>
      <c r="AD229" s="656">
        <v>0.37944812172562842</v>
      </c>
      <c r="AG229" s="655">
        <v>0.30438796049737543</v>
      </c>
      <c r="AH229" s="656">
        <v>0.32728645064537099</v>
      </c>
      <c r="AK229" s="657">
        <v>0.30635983602482941</v>
      </c>
      <c r="AL229" s="658">
        <v>0.32695222481718267</v>
      </c>
      <c r="AM229" s="646"/>
    </row>
    <row r="230" spans="2:39">
      <c r="B230" s="655">
        <v>0.30869555481193711</v>
      </c>
      <c r="C230" s="656">
        <v>0.32734949635731125</v>
      </c>
      <c r="F230" s="655">
        <v>0.34016453099999999</v>
      </c>
      <c r="G230" s="656">
        <v>0.35397717699999998</v>
      </c>
      <c r="J230" s="655">
        <v>0.37664972594674845</v>
      </c>
      <c r="K230" s="656">
        <v>0.37880680261699046</v>
      </c>
      <c r="N230" s="655">
        <v>0.40249783367083164</v>
      </c>
      <c r="O230" s="656">
        <v>0.39224523405571454</v>
      </c>
      <c r="R230" s="655">
        <v>0.42894050099520953</v>
      </c>
      <c r="S230" s="656">
        <v>0.40284298418195047</v>
      </c>
      <c r="V230" s="655">
        <v>0.452882332</v>
      </c>
      <c r="W230" s="656">
        <v>0.40930061299999998</v>
      </c>
      <c r="Z230" s="655">
        <v>0.34180609155982916</v>
      </c>
      <c r="AA230" s="656">
        <v>0.35472005563509146</v>
      </c>
      <c r="AC230" s="655">
        <v>0.37845721542916472</v>
      </c>
      <c r="AD230" s="656">
        <v>0.37935570081498593</v>
      </c>
      <c r="AG230" s="655">
        <v>0.30431518310697298</v>
      </c>
      <c r="AH230" s="656">
        <v>0.32708225487967907</v>
      </c>
      <c r="AK230" s="657">
        <v>0.3062925913532285</v>
      </c>
      <c r="AL230" s="658">
        <v>0.32678249392885211</v>
      </c>
      <c r="AM230" s="646"/>
    </row>
    <row r="231" spans="2:39">
      <c r="B231" s="655">
        <v>0.30865630595789789</v>
      </c>
      <c r="C231" s="656">
        <v>0.3272479168959615</v>
      </c>
      <c r="F231" s="655">
        <v>0.34011924799999999</v>
      </c>
      <c r="G231" s="656">
        <v>0.353851217</v>
      </c>
      <c r="J231" s="655">
        <v>0.37658402033707983</v>
      </c>
      <c r="K231" s="656">
        <v>0.37866876967777185</v>
      </c>
      <c r="N231" s="655">
        <v>0.40242933409632209</v>
      </c>
      <c r="O231" s="656">
        <v>0.39210624255880616</v>
      </c>
      <c r="R231" s="655">
        <v>0.42888321110727495</v>
      </c>
      <c r="S231" s="656">
        <v>0.40271911886411571</v>
      </c>
      <c r="V231" s="655">
        <v>0.45283943399999999</v>
      </c>
      <c r="W231" s="656">
        <v>0.40918092700000003</v>
      </c>
      <c r="Z231" s="655">
        <v>0.34177411063331986</v>
      </c>
      <c r="AA231" s="656">
        <v>0.35463565225981697</v>
      </c>
      <c r="AC231" s="655">
        <v>0.37841133358652368</v>
      </c>
      <c r="AD231" s="656">
        <v>0.37926338478121052</v>
      </c>
      <c r="AG231" s="655">
        <v>0.30424483796914681</v>
      </c>
      <c r="AH231" s="656">
        <v>0.32687839958997861</v>
      </c>
      <c r="AK231" s="657">
        <v>0.30622717659649651</v>
      </c>
      <c r="AL231" s="658">
        <v>0.3266131948266025</v>
      </c>
      <c r="AM231" s="646"/>
    </row>
    <row r="232" spans="2:39">
      <c r="B232" s="655">
        <v>0.30861816700836114</v>
      </c>
      <c r="C232" s="656">
        <v>0.32714662744834827</v>
      </c>
      <c r="F232" s="655">
        <v>0.34007532899999998</v>
      </c>
      <c r="G232" s="656">
        <v>0.35372563800000001</v>
      </c>
      <c r="J232" s="655">
        <v>0.37651990356534482</v>
      </c>
      <c r="K232" s="656">
        <v>0.37853102040033043</v>
      </c>
      <c r="N232" s="655">
        <v>0.40236247047867363</v>
      </c>
      <c r="O232" s="656">
        <v>0.39196749284810367</v>
      </c>
      <c r="R232" s="655">
        <v>0.42882744938183581</v>
      </c>
      <c r="S232" s="656">
        <v>0.40259540002733329</v>
      </c>
      <c r="V232" s="655">
        <v>0.45279801600000003</v>
      </c>
      <c r="W232" s="656">
        <v>0.40906142899999998</v>
      </c>
      <c r="Z232" s="655">
        <v>0.34174302096105541</v>
      </c>
      <c r="AA232" s="656">
        <v>0.35455145125129983</v>
      </c>
      <c r="AC232" s="655">
        <v>0.37836648396449896</v>
      </c>
      <c r="AD232" s="656">
        <v>0.37917120174466029</v>
      </c>
      <c r="AG232" s="655">
        <v>0.30417694651170735</v>
      </c>
      <c r="AH232" s="656">
        <v>0.32667494687256571</v>
      </c>
      <c r="AK232" s="657">
        <v>0.30616361168060191</v>
      </c>
      <c r="AL232" s="658">
        <v>0.32644437908058044</v>
      </c>
      <c r="AM232" s="646"/>
    </row>
    <row r="233" spans="2:39">
      <c r="B233" s="655">
        <v>0.30858114958082039</v>
      </c>
      <c r="C233" s="656">
        <v>0.32704565886821851</v>
      </c>
      <c r="F233" s="655">
        <v>0.340032789</v>
      </c>
      <c r="G233" s="656">
        <v>0.353600478</v>
      </c>
      <c r="J233" s="655">
        <v>0.37645739516213322</v>
      </c>
      <c r="K233" s="656">
        <v>0.37839359674443052</v>
      </c>
      <c r="N233" s="655">
        <v>0.40229726318519193</v>
      </c>
      <c r="O233" s="656">
        <v>0.39182902718811302</v>
      </c>
      <c r="R233" s="655">
        <v>0.4287732328044539</v>
      </c>
      <c r="S233" s="656">
        <v>0.40247186535755947</v>
      </c>
      <c r="V233" s="655">
        <v>0.45275809099999997</v>
      </c>
      <c r="W233" s="656">
        <v>0.408942156</v>
      </c>
      <c r="Z233" s="655">
        <v>0.34171283201325109</v>
      </c>
      <c r="AA233" s="656">
        <v>0.35446747825798292</v>
      </c>
      <c r="AC233" s="655">
        <v>0.37832268022471988</v>
      </c>
      <c r="AD233" s="656">
        <v>0.37907917978518124</v>
      </c>
      <c r="AG233" s="655">
        <v>0.30411152941505015</v>
      </c>
      <c r="AH233" s="656">
        <v>0.32647195870110896</v>
      </c>
      <c r="AK233" s="657">
        <v>0.30610191596803399</v>
      </c>
      <c r="AL233" s="658">
        <v>0.32627609811369751</v>
      </c>
      <c r="AM233" s="646"/>
    </row>
    <row r="234" spans="2:39">
      <c r="B234" s="655">
        <v>0.30854526495114265</v>
      </c>
      <c r="C234" s="656">
        <v>0.32694504191157986</v>
      </c>
      <c r="F234" s="655">
        <v>0.33999163999999998</v>
      </c>
      <c r="G234" s="656">
        <v>0.35347577400000002</v>
      </c>
      <c r="J234" s="655">
        <v>0.37639651416811026</v>
      </c>
      <c r="K234" s="656">
        <v>0.37825654057064895</v>
      </c>
      <c r="N234" s="655">
        <v>0.40223373207865021</v>
      </c>
      <c r="O234" s="656">
        <v>0.39169088775681565</v>
      </c>
      <c r="R234" s="655">
        <v>0.42872057789002382</v>
      </c>
      <c r="S234" s="656">
        <v>0.40234855248465135</v>
      </c>
      <c r="V234" s="655">
        <v>0.45271967200000002</v>
      </c>
      <c r="W234" s="656">
        <v>0.408823145</v>
      </c>
      <c r="Z234" s="655">
        <v>0.34168355298575293</v>
      </c>
      <c r="AA234" s="656">
        <v>0.35438375885885343</v>
      </c>
      <c r="AC234" s="655">
        <v>0.37827993571022983</v>
      </c>
      <c r="AD234" s="656">
        <v>0.37898734693355363</v>
      </c>
      <c r="AG234" s="655">
        <v>0.3040486066058567</v>
      </c>
      <c r="AH234" s="656">
        <v>0.32626949690777174</v>
      </c>
      <c r="AK234" s="657">
        <v>0.30604210825190437</v>
      </c>
      <c r="AL234" s="658">
        <v>0.3261084031859664</v>
      </c>
      <c r="AM234" s="646"/>
    </row>
    <row r="235" spans="2:39">
      <c r="B235" s="655">
        <v>0.30851052405013368</v>
      </c>
      <c r="C235" s="656">
        <v>0.32684480722733195</v>
      </c>
      <c r="F235" s="655">
        <v>0.339951895</v>
      </c>
      <c r="G235" s="656">
        <v>0.35335156499999998</v>
      </c>
      <c r="J235" s="655">
        <v>0.37633727912821641</v>
      </c>
      <c r="K235" s="656">
        <v>0.37811989362762399</v>
      </c>
      <c r="N235" s="655">
        <v>0.40217189651123897</v>
      </c>
      <c r="O235" s="656">
        <v>0.3915531166328205</v>
      </c>
      <c r="R235" s="655">
        <v>0.42866950067774268</v>
      </c>
      <c r="S235" s="656">
        <v>0.40222549897090454</v>
      </c>
      <c r="V235" s="655">
        <v>0.45268277000000001</v>
      </c>
      <c r="W235" s="656">
        <v>0.40870443099999998</v>
      </c>
      <c r="Z235" s="655">
        <v>0.34165519279723627</v>
      </c>
      <c r="AA235" s="656">
        <v>0.35430031855565136</v>
      </c>
      <c r="AC235" s="655">
        <v>0.37823826344142214</v>
      </c>
      <c r="AD235" s="656">
        <v>0.37889573116295366</v>
      </c>
      <c r="AG235" s="655">
        <v>0.30398819725102411</v>
      </c>
      <c r="AH235" s="656">
        <v>0.3260676231643776</v>
      </c>
      <c r="AK235" s="657">
        <v>0.30598420675022281</v>
      </c>
      <c r="AL235" s="658">
        <v>0.32594134537888658</v>
      </c>
      <c r="AM235" s="646"/>
    </row>
    <row r="236" spans="2:39">
      <c r="B236" s="655">
        <v>0.30847693746020854</v>
      </c>
      <c r="C236" s="656">
        <v>0.32674498534793067</v>
      </c>
      <c r="F236" s="655">
        <v>0.33991356499999997</v>
      </c>
      <c r="G236" s="656">
        <v>0.35322788900000002</v>
      </c>
      <c r="J236" s="655">
        <v>0.37627970808601868</v>
      </c>
      <c r="K236" s="656">
        <v>0.37798369753933808</v>
      </c>
      <c r="N236" s="655">
        <v>0.40211177531867109</v>
      </c>
      <c r="O236" s="656">
        <v>0.3914157557825465</v>
      </c>
      <c r="R236" s="655">
        <v>0.42862001672622402</v>
      </c>
      <c r="S236" s="656">
        <v>0.4021027422996114</v>
      </c>
      <c r="V236" s="655">
        <v>0.45264739599999998</v>
      </c>
      <c r="W236" s="656">
        <v>0.40858605100000001</v>
      </c>
      <c r="Z236" s="655">
        <v>0.34162776008648926</v>
      </c>
      <c r="AA236" s="656">
        <v>0.35421718276510139</v>
      </c>
      <c r="AC236" s="655">
        <v>0.3781976761120735</v>
      </c>
      <c r="AD236" s="656">
        <v>0.37880436038043264</v>
      </c>
      <c r="AG236" s="655">
        <v>0.30393031975182705</v>
      </c>
      <c r="AH236" s="656">
        <v>0.3258663989636244</v>
      </c>
      <c r="AK236" s="657">
        <v>0.30592822910034756</v>
      </c>
      <c r="AL236" s="658">
        <v>0.3257749755798845</v>
      </c>
      <c r="AM236" s="646"/>
    </row>
    <row r="237" spans="2:39">
      <c r="B237" s="655">
        <v>0.30844451541216789</v>
      </c>
      <c r="C237" s="656">
        <v>0.32664560668008746</v>
      </c>
      <c r="F237" s="655">
        <v>0.33987666300000002</v>
      </c>
      <c r="G237" s="656">
        <v>0.35310478299999998</v>
      </c>
      <c r="J237" s="655">
        <v>0.37622381857821424</v>
      </c>
      <c r="K237" s="656">
        <v>0.37784799379243922</v>
      </c>
      <c r="N237" s="655">
        <v>0.40205338681444419</v>
      </c>
      <c r="O237" s="656">
        <v>0.39127884704743937</v>
      </c>
      <c r="R237" s="655">
        <v>0.42857214110875896</v>
      </c>
      <c r="S237" s="656">
        <v>0.40198031986364319</v>
      </c>
      <c r="V237" s="655">
        <v>0.452613561</v>
      </c>
      <c r="W237" s="656">
        <v>0.408468041</v>
      </c>
      <c r="Z237" s="655">
        <v>0.34160126320978135</v>
      </c>
      <c r="AA237" s="656">
        <v>0.3541343768111706</v>
      </c>
      <c r="AC237" s="655">
        <v>0.37815818608547758</v>
      </c>
      <c r="AD237" s="656">
        <v>0.37871326241841596</v>
      </c>
      <c r="AG237" s="655">
        <v>0.30387499173831256</v>
      </c>
      <c r="AH237" s="656">
        <v>0.32566588560035303</v>
      </c>
      <c r="AK237" s="657">
        <v>0.30587419235361307</v>
      </c>
      <c r="AL237" s="658">
        <v>0.32560934446681244</v>
      </c>
      <c r="AM237" s="646"/>
    </row>
    <row r="238" spans="2:39">
      <c r="B238" s="655">
        <v>0.30841326778208156</v>
      </c>
      <c r="C238" s="656">
        <v>0.32654670149550724</v>
      </c>
      <c r="F238" s="655">
        <v>0.33984120000000001</v>
      </c>
      <c r="G238" s="656">
        <v>0.35298228399999998</v>
      </c>
      <c r="J238" s="655">
        <v>0.37616962762928852</v>
      </c>
      <c r="K238" s="656">
        <v>0.37771282372360326</v>
      </c>
      <c r="N238" s="655">
        <v>0.40199674878426228</v>
      </c>
      <c r="O238" s="656">
        <v>0.39114243213122607</v>
      </c>
      <c r="R238" s="655">
        <v>0.42852588840872424</v>
      </c>
      <c r="S238" s="656">
        <v>0.40185826895405979</v>
      </c>
      <c r="V238" s="655">
        <v>0.45258127599999998</v>
      </c>
      <c r="W238" s="656">
        <v>0.40835043599999998</v>
      </c>
      <c r="Z238" s="655">
        <v>0.3415757102383179</v>
      </c>
      <c r="AA238" s="656">
        <v>0.35405192591735485</v>
      </c>
      <c r="AC238" s="655">
        <v>0.37811980539067913</v>
      </c>
      <c r="AD238" s="656">
        <v>0.37862246502622537</v>
      </c>
      <c r="AG238" s="655">
        <v>0.30382223006392944</v>
      </c>
      <c r="AH238" s="656">
        <v>0.32546614415287628</v>
      </c>
      <c r="AK238" s="657">
        <v>0.3058221129701359</v>
      </c>
      <c r="AL238" s="658">
        <v>0.32544450249251211</v>
      </c>
      <c r="AM238" s="646"/>
    </row>
    <row r="239" spans="2:39">
      <c r="B239" s="655">
        <v>0.3083832040882804</v>
      </c>
      <c r="C239" s="656">
        <v>0.32644829992166735</v>
      </c>
      <c r="F239" s="655">
        <v>0.33980718700000001</v>
      </c>
      <c r="G239" s="656">
        <v>0.35286043099999997</v>
      </c>
      <c r="J239" s="655">
        <v>0.37611715174632959</v>
      </c>
      <c r="K239" s="656">
        <v>0.37757822850694256</v>
      </c>
      <c r="N239" s="655">
        <v>0.40194187848061808</v>
      </c>
      <c r="O239" s="656">
        <v>0.39100655258721151</v>
      </c>
      <c r="R239" s="655">
        <v>0.42848127271514047</v>
      </c>
      <c r="S239" s="656">
        <v>0.4017366267487506</v>
      </c>
      <c r="V239" s="655">
        <v>0.45255055</v>
      </c>
      <c r="W239" s="656">
        <v>0.40823327300000001</v>
      </c>
      <c r="Z239" s="655">
        <v>0.34155110895578156</v>
      </c>
      <c r="AA239" s="656">
        <v>0.35396985519899499</v>
      </c>
      <c r="AC239" s="655">
        <v>0.37808254571880945</v>
      </c>
      <c r="AD239" s="656">
        <v>0.37853199586162611</v>
      </c>
      <c r="AG239" s="655">
        <v>0.30377205080039488</v>
      </c>
      <c r="AH239" s="656">
        <v>0.32526723546437397</v>
      </c>
      <c r="AK239" s="657">
        <v>0.30577200681380068</v>
      </c>
      <c r="AL239" s="658">
        <v>0.32528049986944563</v>
      </c>
      <c r="AM239" s="646"/>
    </row>
    <row r="240" spans="2:39">
      <c r="B240" s="655">
        <v>0.30835433348845687</v>
      </c>
      <c r="C240" s="656">
        <v>0.32635043193264046</v>
      </c>
      <c r="F240" s="655">
        <v>0.33977463299999999</v>
      </c>
      <c r="G240" s="656">
        <v>0.35273926</v>
      </c>
      <c r="J240" s="655">
        <v>0.37606640691399967</v>
      </c>
      <c r="K240" s="656">
        <v>0.37744424914146396</v>
      </c>
      <c r="N240" s="655">
        <v>0.40188879261753757</v>
      </c>
      <c r="O240" s="656">
        <v>0.3908712498056211</v>
      </c>
      <c r="R240" s="655">
        <v>0.42843830761838003</v>
      </c>
      <c r="S240" s="656">
        <v>0.4016154303011098</v>
      </c>
      <c r="V240" s="655">
        <v>0.45252139200000002</v>
      </c>
      <c r="W240" s="656">
        <v>0.408116588</v>
      </c>
      <c r="Z240" s="655">
        <v>0.34152746685596125</v>
      </c>
      <c r="AA240" s="656">
        <v>0.35388818965562691</v>
      </c>
      <c r="AC240" s="655">
        <v>0.37804641841952569</v>
      </c>
      <c r="AD240" s="656">
        <v>0.37844188248240213</v>
      </c>
      <c r="AG240" s="655">
        <v>0.30372446923279861</v>
      </c>
      <c r="AH240" s="656">
        <v>0.32506922012435963</v>
      </c>
      <c r="AK240" s="657">
        <v>0.3057238891474281</v>
      </c>
      <c r="AL240" s="658">
        <v>0.32511738655440076</v>
      </c>
      <c r="AM240" s="646"/>
    </row>
    <row r="241" spans="2:39">
      <c r="B241" s="655">
        <v>0.30832666477687526</v>
      </c>
      <c r="C241" s="656">
        <v>0.32625312733996398</v>
      </c>
      <c r="F241" s="655">
        <v>0.33974354899999998</v>
      </c>
      <c r="G241" s="656">
        <v>0.35261880800000001</v>
      </c>
      <c r="J241" s="655">
        <v>0.37601740858966637</v>
      </c>
      <c r="K241" s="656">
        <v>0.37731092643858011</v>
      </c>
      <c r="N241" s="655">
        <v>0.4018375073654889</v>
      </c>
      <c r="O241" s="656">
        <v>0.39073656500099291</v>
      </c>
      <c r="R241" s="655">
        <v>0.42839700620602761</v>
      </c>
      <c r="S241" s="656">
        <v>0.40149471652874935</v>
      </c>
      <c r="V241" s="655">
        <v>0.452493812</v>
      </c>
      <c r="W241" s="656">
        <v>0.40800041500000001</v>
      </c>
      <c r="Z241" s="655">
        <v>0.34150479114046961</v>
      </c>
      <c r="AA241" s="656">
        <v>0.35380695416336627</v>
      </c>
      <c r="AC241" s="655">
        <v>0.37801143449755303</v>
      </c>
      <c r="AD241" s="656">
        <v>0.37835215233796166</v>
      </c>
      <c r="AG241" s="655">
        <v>0.30367949985494702</v>
      </c>
      <c r="AH241" s="656">
        <v>0.32487215845022388</v>
      </c>
      <c r="AK241" s="657">
        <v>0.30567777462812545</v>
      </c>
      <c r="AL241" s="658">
        <v>0.32495521223327334</v>
      </c>
      <c r="AM241" s="646"/>
    </row>
    <row r="242" spans="2:39">
      <c r="B242" s="655">
        <v>0.3083002063816932</v>
      </c>
      <c r="C242" s="656">
        <v>0.32615641578355958</v>
      </c>
      <c r="F242" s="655">
        <v>0.33971394500000002</v>
      </c>
      <c r="G242" s="656">
        <v>0.352499112</v>
      </c>
      <c r="J242" s="655">
        <v>0.37597017169869384</v>
      </c>
      <c r="K242" s="656">
        <v>0.37717830100967781</v>
      </c>
      <c r="N242" s="655">
        <v>0.40178803834645671</v>
      </c>
      <c r="O242" s="656">
        <v>0.39060253919962301</v>
      </c>
      <c r="R242" s="655">
        <v>0.42835738105889354</v>
      </c>
      <c r="S242" s="656">
        <v>0.40137452220225367</v>
      </c>
      <c r="V242" s="655">
        <v>0.45246781699999999</v>
      </c>
      <c r="W242" s="656">
        <v>0.40788479</v>
      </c>
      <c r="Z242" s="655">
        <v>0.34148308871654931</v>
      </c>
      <c r="AA242" s="656">
        <v>0.35372617346733093</v>
      </c>
      <c r="AC242" s="655">
        <v>0.37797760460933311</v>
      </c>
      <c r="AD242" s="656">
        <v>0.37826283276097594</v>
      </c>
      <c r="AG242" s="655">
        <v>0.30363715636494831</v>
      </c>
      <c r="AH242" s="656">
        <v>0.32467611046886174</v>
      </c>
      <c r="AK242" s="657">
        <v>0.30563367730282198</v>
      </c>
      <c r="AL242" s="658">
        <v>0.32479402630593263</v>
      </c>
      <c r="AM242" s="646"/>
    </row>
    <row r="243" spans="2:39">
      <c r="B243" s="655">
        <v>0.3082749663623941</v>
      </c>
      <c r="C243" s="656">
        <v>0.32606032672270413</v>
      </c>
      <c r="F243" s="655">
        <v>0.33968582899999999</v>
      </c>
      <c r="G243" s="656">
        <v>0.35238020799999997</v>
      </c>
      <c r="J243" s="655">
        <v>0.37592471062989669</v>
      </c>
      <c r="K243" s="656">
        <v>0.37704641325374749</v>
      </c>
      <c r="N243" s="655">
        <v>0.40174040062918331</v>
      </c>
      <c r="O243" s="656">
        <v>0.39046921322706896</v>
      </c>
      <c r="R243" s="655">
        <v>0.42831944424718149</v>
      </c>
      <c r="S243" s="656">
        <v>0.40125488393397901</v>
      </c>
      <c r="V243" s="655">
        <v>0.45244341700000001</v>
      </c>
      <c r="W243" s="656">
        <v>0.40776974799999999</v>
      </c>
      <c r="Z243" s="655">
        <v>0.34146236619496884</v>
      </c>
      <c r="AA243" s="656">
        <v>0.35364587217410343</v>
      </c>
      <c r="AC243" s="655">
        <v>0.37794493905977755</v>
      </c>
      <c r="AD243" s="656">
        <v>0.37817395095905337</v>
      </c>
      <c r="AG243" s="655">
        <v>0.30359745166103969</v>
      </c>
      <c r="AH243" s="656">
        <v>0.32448113589838745</v>
      </c>
      <c r="AK243" s="657">
        <v>0.3055916106039902</v>
      </c>
      <c r="AL243" s="658">
        <v>0.32463387787117359</v>
      </c>
      <c r="AM243" s="646"/>
    </row>
    <row r="244" spans="2:39">
      <c r="B244" s="655">
        <v>0.30825095240733247</v>
      </c>
      <c r="C244" s="656">
        <v>0.32596488942705643</v>
      </c>
      <c r="F244" s="655">
        <v>0.33965920900000002</v>
      </c>
      <c r="G244" s="656">
        <v>0.35226213299999998</v>
      </c>
      <c r="J244" s="655">
        <v>0.3758810392311569</v>
      </c>
      <c r="K244" s="656">
        <v>0.37691530334507728</v>
      </c>
      <c r="N244" s="655">
        <v>0.40169460872457896</v>
      </c>
      <c r="O244" s="656">
        <v>0.39033662769571348</v>
      </c>
      <c r="R244" s="655">
        <v>0.42828320732681185</v>
      </c>
      <c r="S244" s="656">
        <v>0.40113583816690085</v>
      </c>
      <c r="V244" s="655">
        <v>0.45242061700000002</v>
      </c>
      <c r="W244" s="656">
        <v>0.40765532500000001</v>
      </c>
      <c r="Z244" s="655">
        <v>0.34144262988800905</v>
      </c>
      <c r="AA244" s="656">
        <v>0.35356607474423557</v>
      </c>
      <c r="AC244" s="655">
        <v>0.37791344779912922</v>
      </c>
      <c r="AD244" s="656">
        <v>0.37808553400645184</v>
      </c>
      <c r="AG244" s="655">
        <v>0.30356039783765859</v>
      </c>
      <c r="AH244" s="656">
        <v>0.324287294129944</v>
      </c>
      <c r="AK244" s="657">
        <v>0.30555158734555404</v>
      </c>
      <c r="AL244" s="658">
        <v>0.32447481571176073</v>
      </c>
      <c r="AM244" s="646"/>
    </row>
    <row r="245" spans="2:39">
      <c r="B245" s="655">
        <v>0.30822817183139151</v>
      </c>
      <c r="C245" s="656">
        <v>0.32587013296774126</v>
      </c>
      <c r="F245" s="655">
        <v>0.33963409500000002</v>
      </c>
      <c r="G245" s="656">
        <v>0.35214492200000003</v>
      </c>
      <c r="J245" s="655">
        <v>0.37583917080520557</v>
      </c>
      <c r="K245" s="656">
        <v>0.37678501122101532</v>
      </c>
      <c r="N245" s="655">
        <v>0.40165067658130132</v>
      </c>
      <c r="O245" s="656">
        <v>0.39020482299239384</v>
      </c>
      <c r="R245" s="655">
        <v>0.42824868133590149</v>
      </c>
      <c r="S245" s="656">
        <v>0.40101742116351297</v>
      </c>
      <c r="V245" s="655">
        <v>0.45239942599999999</v>
      </c>
      <c r="W245" s="656">
        <v>0.40754155600000003</v>
      </c>
      <c r="Z245" s="655">
        <v>0.34142388580754024</v>
      </c>
      <c r="AA245" s="656">
        <v>0.35348680548479755</v>
      </c>
      <c r="AC245" s="655">
        <v>0.37788314041993115</v>
      </c>
      <c r="AD245" s="656">
        <v>0.37799760883583167</v>
      </c>
      <c r="AG245" s="655">
        <v>0.30352600618175857</v>
      </c>
      <c r="AH245" s="656">
        <v>0.32409464420961176</v>
      </c>
      <c r="AK245" s="657">
        <v>0.30551361971898583</v>
      </c>
      <c r="AL245" s="658">
        <v>0.32431688827956878</v>
      </c>
      <c r="AM245" s="646"/>
    </row>
    <row r="246" spans="2:39">
      <c r="B246" s="655">
        <v>0.30820663157375539</v>
      </c>
      <c r="C246" s="656">
        <v>0.32577608620849402</v>
      </c>
      <c r="F246" s="655">
        <v>0.33961049399999998</v>
      </c>
      <c r="G246" s="656">
        <v>0.35202861099999999</v>
      </c>
      <c r="J246" s="655">
        <v>0.37579911810557082</v>
      </c>
      <c r="K246" s="656">
        <v>0.37665557656980492</v>
      </c>
      <c r="N246" s="655">
        <v>0.4016086175815069</v>
      </c>
      <c r="O246" s="656">
        <v>0.39007383926609945</v>
      </c>
      <c r="R246" s="655">
        <v>0.42821587679140183</v>
      </c>
      <c r="S246" s="656">
        <v>0.40089966899478185</v>
      </c>
      <c r="V246" s="655">
        <v>0.45237984999999997</v>
      </c>
      <c r="W246" s="656">
        <v>0.40742847399999998</v>
      </c>
      <c r="Z246" s="655">
        <v>0.34140613966319089</v>
      </c>
      <c r="AA246" s="656">
        <v>0.35340808854197364</v>
      </c>
      <c r="AC246" s="655">
        <v>0.37785402615410463</v>
      </c>
      <c r="AD246" s="656">
        <v>0.37791020223005151</v>
      </c>
      <c r="AG246" s="655">
        <v>0.30349428716937116</v>
      </c>
      <c r="AH246" s="656">
        <v>0.32390324482042282</v>
      </c>
      <c r="AK246" s="657">
        <v>0.30547771928959228</v>
      </c>
      <c r="AL246" s="658">
        <v>0.32416014368082341</v>
      </c>
      <c r="AM246" s="646"/>
    </row>
    <row r="247" spans="2:39">
      <c r="B247" s="655">
        <v>0.30818633819579527</v>
      </c>
      <c r="C247" s="656">
        <v>0.32568277779686866</v>
      </c>
      <c r="F247" s="655">
        <v>0.33958841200000001</v>
      </c>
      <c r="G247" s="656">
        <v>0.35191323600000002</v>
      </c>
      <c r="J247" s="655">
        <v>0.37576089333269297</v>
      </c>
      <c r="K247" s="656">
        <v>0.37652703881849459</v>
      </c>
      <c r="N247" s="655">
        <v>0.40156844453677437</v>
      </c>
      <c r="O247" s="656">
        <v>0.38994371641574227</v>
      </c>
      <c r="R247" s="655">
        <v>0.42818480368589479</v>
      </c>
      <c r="S247" s="656">
        <v>0.40078261752915872</v>
      </c>
      <c r="V247" s="655">
        <v>0.45236189300000001</v>
      </c>
      <c r="W247" s="656">
        <v>0.40731611499999998</v>
      </c>
      <c r="Z247" s="655">
        <v>0.34138939686060843</v>
      </c>
      <c r="AA247" s="656">
        <v>0.35332994789370725</v>
      </c>
      <c r="AC247" s="655">
        <v>0.37782611387013704</v>
      </c>
      <c r="AD247" s="656">
        <v>0.3778233408140102</v>
      </c>
      <c r="AG247" s="655">
        <v>0.30346525046241485</v>
      </c>
      <c r="AH247" s="656">
        <v>0.3237131542644851</v>
      </c>
      <c r="AK247" s="657">
        <v>0.30544389699299207</v>
      </c>
      <c r="AL247" s="658">
        <v>0.32400462966144783</v>
      </c>
      <c r="AM247" s="646"/>
    </row>
    <row r="248" spans="2:39">
      <c r="B248" s="655">
        <v>0.30816729787907066</v>
      </c>
      <c r="C248" s="656">
        <v>0.3255902361555113</v>
      </c>
      <c r="F248" s="655">
        <v>0.33956785699999997</v>
      </c>
      <c r="G248" s="656">
        <v>0.35179883099999998</v>
      </c>
      <c r="J248" s="655">
        <v>0.37572450813020808</v>
      </c>
      <c r="K248" s="656">
        <v>0.3763994371209286</v>
      </c>
      <c r="N248" s="655">
        <v>0.40153016968420241</v>
      </c>
      <c r="O248" s="656">
        <v>0.38981449407800306</v>
      </c>
      <c r="R248" s="655">
        <v>0.42815547148454941</v>
      </c>
      <c r="S248" s="656">
        <v>0.40066630242165391</v>
      </c>
      <c r="V248" s="655">
        <v>0.45234556300000001</v>
      </c>
      <c r="W248" s="656">
        <v>0.40720451200000002</v>
      </c>
      <c r="Z248" s="655">
        <v>0.34137366249981277</v>
      </c>
      <c r="AA248" s="656">
        <v>0.35325240734239677</v>
      </c>
      <c r="AC248" s="655">
        <v>0.37779941207038054</v>
      </c>
      <c r="AD248" s="656">
        <v>0.3777370510465366</v>
      </c>
      <c r="AG248" s="655">
        <v>0.30343890490575176</v>
      </c>
      <c r="AH248" s="656">
        <v>0.3235244304452235</v>
      </c>
      <c r="AK248" s="657">
        <v>0.30541216313178438</v>
      </c>
      <c r="AL248" s="658">
        <v>0.32385039359251883</v>
      </c>
      <c r="AM248" s="646"/>
    </row>
    <row r="249" spans="2:39">
      <c r="B249" s="655">
        <v>0.30814951642344646</v>
      </c>
      <c r="C249" s="656">
        <v>0.32549848947350229</v>
      </c>
      <c r="F249" s="655">
        <v>0.33954883499999999</v>
      </c>
      <c r="G249" s="656">
        <v>0.35168543200000002</v>
      </c>
      <c r="J249" s="655">
        <v>0.37568997358140138</v>
      </c>
      <c r="K249" s="656">
        <v>0.37627281034582011</v>
      </c>
      <c r="N249" s="655">
        <v>0.40149380468268181</v>
      </c>
      <c r="O249" s="656">
        <v>0.38968621161525757</v>
      </c>
      <c r="R249" s="655">
        <v>0.42812788912223831</v>
      </c>
      <c r="S249" s="656">
        <v>0.40055075910297594</v>
      </c>
      <c r="V249" s="655">
        <v>0.452330864</v>
      </c>
      <c r="W249" s="656">
        <v>0.4070937</v>
      </c>
      <c r="Z249" s="655">
        <v>0.34135894137364264</v>
      </c>
      <c r="AA249" s="656">
        <v>0.35317549050764524</v>
      </c>
      <c r="AC249" s="655">
        <v>0.37777392888846195</v>
      </c>
      <c r="AD249" s="656">
        <v>0.37765135921232973</v>
      </c>
      <c r="AG249" s="655">
        <v>0.3034152585244938</v>
      </c>
      <c r="AH249" s="656">
        <v>0.32333713084974153</v>
      </c>
      <c r="AK249" s="657">
        <v>0.30538252737241073</v>
      </c>
      <c r="AL249" s="658">
        <v>0.32369748245583713</v>
      </c>
      <c r="AM249" s="646"/>
    </row>
    <row r="250" spans="2:39">
      <c r="B250" s="655">
        <v>0.30813299924532628</v>
      </c>
      <c r="C250" s="656">
        <v>0.32540756569776974</v>
      </c>
      <c r="F250" s="655">
        <v>0.33953135099999998</v>
      </c>
      <c r="G250" s="656">
        <v>0.35157307300000001</v>
      </c>
      <c r="J250" s="655">
        <v>0.37565730020583094</v>
      </c>
      <c r="K250" s="656">
        <v>0.37614719706491151</v>
      </c>
      <c r="N250" s="655">
        <v>0.4014593606093444</v>
      </c>
      <c r="O250" s="656">
        <v>0.38955890810358679</v>
      </c>
      <c r="R250" s="655">
        <v>0.42810206500081632</v>
      </c>
      <c r="S250" s="656">
        <v>0.40043602276873896</v>
      </c>
      <c r="V250" s="655">
        <v>0.45231780100000002</v>
      </c>
      <c r="W250" s="656">
        <v>0.406983712</v>
      </c>
      <c r="Z250" s="655">
        <v>0.34134523796629568</v>
      </c>
      <c r="AA250" s="656">
        <v>0.35309922081906564</v>
      </c>
      <c r="AC250" s="655">
        <v>0.37774967208680538</v>
      </c>
      <c r="AD250" s="656">
        <v>0.37756629141395237</v>
      </c>
      <c r="AG250" s="655">
        <v>0.30339431852155768</v>
      </c>
      <c r="AH250" s="656">
        <v>0.32315131253131041</v>
      </c>
      <c r="AK250" s="657">
        <v>0.30535499874221045</v>
      </c>
      <c r="AL250" s="658">
        <v>0.32354594282961624</v>
      </c>
      <c r="AM250" s="646"/>
    </row>
    <row r="251" spans="2:39">
      <c r="B251" s="655">
        <v>0.30811775137600267</v>
      </c>
      <c r="C251" s="656">
        <v>0.32531749252457659</v>
      </c>
      <c r="F251" s="655">
        <v>0.33951541099999999</v>
      </c>
      <c r="G251" s="656">
        <v>0.35146178900000002</v>
      </c>
      <c r="J251" s="655">
        <v>0.37562649795612346</v>
      </c>
      <c r="K251" s="656">
        <v>0.37602263554122495</v>
      </c>
      <c r="N251" s="655">
        <v>0.40142684795618849</v>
      </c>
      <c r="O251" s="656">
        <v>0.38943262232087356</v>
      </c>
      <c r="R251" s="655">
        <v>0.4280780069865609</v>
      </c>
      <c r="S251" s="656">
        <v>0.40032212836874187</v>
      </c>
      <c r="V251" s="655">
        <v>0.45230637699999998</v>
      </c>
      <c r="W251" s="656">
        <v>0.40687458199999998</v>
      </c>
      <c r="Z251" s="655">
        <v>0.34133255645196248</v>
      </c>
      <c r="AA251" s="656">
        <v>0.35302362150914401</v>
      </c>
      <c r="AC251" s="655">
        <v>0.37772664905426756</v>
      </c>
      <c r="AD251" s="656">
        <v>0.37748187356388008</v>
      </c>
      <c r="AG251" s="655">
        <v>0.30337609127547116</v>
      </c>
      <c r="AH251" s="656">
        <v>0.32296703209199001</v>
      </c>
      <c r="AK251" s="657">
        <v>0.30532958562667106</v>
      </c>
      <c r="AL251" s="658">
        <v>0.32339582087429436</v>
      </c>
      <c r="AM251" s="646"/>
    </row>
    <row r="252" spans="2:39">
      <c r="B252" s="655">
        <v>0.30810377746012424</v>
      </c>
      <c r="C252" s="656">
        <v>0.32522829739108394</v>
      </c>
      <c r="F252" s="655">
        <v>0.33950101999999999</v>
      </c>
      <c r="G252" s="656">
        <v>0.35135161300000001</v>
      </c>
      <c r="J252" s="655">
        <v>0.37559757621494261</v>
      </c>
      <c r="K252" s="656">
        <v>0.37589916371740728</v>
      </c>
      <c r="N252" s="655">
        <v>0.40139627662688326</v>
      </c>
      <c r="O252" s="656">
        <v>0.3893073927349906</v>
      </c>
      <c r="R252" s="655">
        <v>0.42805572240777628</v>
      </c>
      <c r="S252" s="656">
        <v>0.40020911059632225</v>
      </c>
      <c r="V252" s="655">
        <v>0.452296596</v>
      </c>
      <c r="W252" s="656">
        <v>0.40676634299999997</v>
      </c>
      <c r="Z252" s="655">
        <v>0.3413209006935552</v>
      </c>
      <c r="AA252" s="656">
        <v>0.35294871560616248</v>
      </c>
      <c r="AC252" s="655">
        <v>0.37770486680388726</v>
      </c>
      <c r="AD252" s="656">
        <v>0.37739813137660766</v>
      </c>
      <c r="AG252" s="655">
        <v>0.30336058233843</v>
      </c>
      <c r="AH252" s="656">
        <v>0.32278434566538727</v>
      </c>
      <c r="AK252" s="657">
        <v>0.30530629576687374</v>
      </c>
      <c r="AL252" s="658">
        <v>0.32324716231847322</v>
      </c>
      <c r="AM252" s="646"/>
    </row>
    <row r="253" spans="2:39">
      <c r="B253" s="655">
        <v>0.30809108175428118</v>
      </c>
      <c r="C253" s="656">
        <v>0.32514000746699351</v>
      </c>
      <c r="F253" s="655">
        <v>0.339488183</v>
      </c>
      <c r="G253" s="656">
        <v>0.35124257800000003</v>
      </c>
      <c r="J253" s="655">
        <v>0.3755705437921309</v>
      </c>
      <c r="K253" s="656">
        <v>0.37577681920417211</v>
      </c>
      <c r="N253" s="655">
        <v>0.40136765593375173</v>
      </c>
      <c r="O253" s="656">
        <v>0.38918325749208293</v>
      </c>
      <c r="R253" s="655">
        <v>0.42803521805256106</v>
      </c>
      <c r="S253" s="656">
        <v>0.4000970038777884</v>
      </c>
      <c r="V253" s="655">
        <v>0.45228846099999997</v>
      </c>
      <c r="W253" s="656">
        <v>0.40665902799999998</v>
      </c>
      <c r="Z253" s="655">
        <v>0.34131027424153065</v>
      </c>
      <c r="AA253" s="656">
        <v>0.35287452592718471</v>
      </c>
      <c r="AC253" s="655">
        <v>0.37768433197074897</v>
      </c>
      <c r="AD253" s="656">
        <v>0.37731509036081662</v>
      </c>
      <c r="AG253" s="655">
        <v>0.30334779643460658</v>
      </c>
      <c r="AH253" s="656">
        <v>0.32260330889955746</v>
      </c>
      <c r="AK253" s="657">
        <v>0.30528513625713533</v>
      </c>
      <c r="AL253" s="658">
        <v>0.32310001244498915</v>
      </c>
      <c r="AM253" s="646"/>
    </row>
    <row r="254" spans="2:39">
      <c r="B254" s="655">
        <v>0.30807966812570853</v>
      </c>
      <c r="C254" s="656">
        <v>0.3250526496462714</v>
      </c>
      <c r="F254" s="655">
        <v>0.33947690200000002</v>
      </c>
      <c r="G254" s="656">
        <v>0.35113471899999998</v>
      </c>
      <c r="J254" s="655">
        <v>0.3755454089220262</v>
      </c>
      <c r="K254" s="656">
        <v>0.37565563926884332</v>
      </c>
      <c r="N254" s="655">
        <v>0.40134099459493433</v>
      </c>
      <c r="O254" s="656">
        <v>0.38906025440494807</v>
      </c>
      <c r="R254" s="655">
        <v>0.42801650016674042</v>
      </c>
      <c r="S254" s="656">
        <v>0.39998584236193274</v>
      </c>
      <c r="V254" s="655">
        <v>0.45228197399999998</v>
      </c>
      <c r="W254" s="656">
        <v>0.40655267099999998</v>
      </c>
      <c r="Z254" s="655">
        <v>0.34130068033280919</v>
      </c>
      <c r="AA254" s="656">
        <v>0.35280107507110559</v>
      </c>
      <c r="AC254" s="655">
        <v>0.37766505080996171</v>
      </c>
      <c r="AD254" s="656">
        <v>0.37723277581160486</v>
      </c>
      <c r="AG254" s="655">
        <v>0.30333773745871118</v>
      </c>
      <c r="AH254" s="656">
        <v>0.3224239769400532</v>
      </c>
      <c r="AK254" s="657">
        <v>0.30526611354284749</v>
      </c>
      <c r="AL254" s="658">
        <v>0.322954416077119</v>
      </c>
      <c r="AM254" s="646"/>
    </row>
    <row r="255" spans="2:39">
      <c r="B255" s="655">
        <v>0.30806954005110798</v>
      </c>
      <c r="C255" s="656">
        <v>0.32496625053895611</v>
      </c>
      <c r="F255" s="655">
        <v>0.33946718199999998</v>
      </c>
      <c r="G255" s="656">
        <v>0.351028067</v>
      </c>
      <c r="J255" s="655">
        <v>0.37552217926095344</v>
      </c>
      <c r="K255" s="656">
        <v>0.37553566082400308</v>
      </c>
      <c r="N255" s="655">
        <v>0.40131630073173308</v>
      </c>
      <c r="O255" s="656">
        <v>0.38893842094151793</v>
      </c>
      <c r="R255" s="655">
        <v>0.42799957445196379</v>
      </c>
      <c r="S255" s="656">
        <v>0.39987565990962992</v>
      </c>
      <c r="V255" s="655">
        <v>0.45227713800000002</v>
      </c>
      <c r="W255" s="656">
        <v>0.40644730200000001</v>
      </c>
      <c r="Z255" s="655">
        <v>0.34129212188978836</v>
      </c>
      <c r="AA255" s="656">
        <v>0.35272838541176749</v>
      </c>
      <c r="AC255" s="655">
        <v>0.3776470291947539</v>
      </c>
      <c r="AD255" s="656">
        <v>0.37715121280278141</v>
      </c>
      <c r="AG255" s="655">
        <v>0.30333040847480525</v>
      </c>
      <c r="AH255" s="656">
        <v>0.32224640441312663</v>
      </c>
      <c r="AK255" s="657">
        <v>0.30524923341851329</v>
      </c>
      <c r="AL255" s="658">
        <v>0.3228104175649269</v>
      </c>
      <c r="AM255" s="646"/>
    </row>
    <row r="256" spans="2:39">
      <c r="B256" s="655">
        <v>0.30806070061558932</v>
      </c>
      <c r="C256" s="656">
        <v>0.32488083646305271</v>
      </c>
      <c r="F256" s="655">
        <v>0.339459026</v>
      </c>
      <c r="G256" s="656">
        <v>0.350922656</v>
      </c>
      <c r="J256" s="655">
        <v>0.37550086188489246</v>
      </c>
      <c r="K256" s="656">
        <v>0.37541692041624802</v>
      </c>
      <c r="N256" s="655">
        <v>0.40129358186613795</v>
      </c>
      <c r="O256" s="656">
        <v>0.38881779421344564</v>
      </c>
      <c r="R256" s="655">
        <v>0.42798444606396774</v>
      </c>
      <c r="S256" s="656">
        <v>0.39976649008352222</v>
      </c>
      <c r="V256" s="655">
        <v>0.45227395300000001</v>
      </c>
      <c r="W256" s="656">
        <v>0.40634295399999998</v>
      </c>
      <c r="Z256" s="655">
        <v>0.34128460151945267</v>
      </c>
      <c r="AA256" s="656">
        <v>0.35265647909114473</v>
      </c>
      <c r="AC256" s="655">
        <v>0.37763027261468413</v>
      </c>
      <c r="AD256" s="656">
        <v>0.37707042617922887</v>
      </c>
      <c r="AG256" s="655">
        <v>0.30332581171536821</v>
      </c>
      <c r="AH256" s="656">
        <v>0.32207064540908958</v>
      </c>
      <c r="AK256" s="657">
        <v>0.30523450102598215</v>
      </c>
      <c r="AL256" s="658">
        <v>0.32266806077175458</v>
      </c>
      <c r="AM256" s="646"/>
    </row>
    <row r="257" spans="2:39">
      <c r="B257" s="655">
        <v>0.3080531525117301</v>
      </c>
      <c r="C257" s="656">
        <v>0.32479643343651615</v>
      </c>
      <c r="F257" s="655">
        <v>0.339452435</v>
      </c>
      <c r="G257" s="656">
        <v>0.350818517</v>
      </c>
      <c r="J257" s="655">
        <v>0.3754814632873224</v>
      </c>
      <c r="K257" s="656">
        <v>0.37529945421505662</v>
      </c>
      <c r="N257" s="655">
        <v>0.40127284491853549</v>
      </c>
      <c r="O257" s="656">
        <v>0.38869841096480118</v>
      </c>
      <c r="R257" s="655">
        <v>0.42797111961100587</v>
      </c>
      <c r="S257" s="656">
        <v>0.39965836613779621</v>
      </c>
      <c r="V257" s="655">
        <v>0.45227242099999998</v>
      </c>
      <c r="W257" s="656">
        <v>0.40623966</v>
      </c>
      <c r="Z257" s="655">
        <v>0.34127812151257991</v>
      </c>
      <c r="AA257" s="656">
        <v>0.35258537801259915</v>
      </c>
      <c r="AC257" s="655">
        <v>0.37761478617396899</v>
      </c>
      <c r="AD257" s="656">
        <v>0.37699044054933539</v>
      </c>
      <c r="AG257" s="655">
        <v>0.30332394858061762</v>
      </c>
      <c r="AH257" s="656">
        <v>0.32189675346583735</v>
      </c>
      <c r="AK257" s="657">
        <v>0.30522192085288352</v>
      </c>
      <c r="AL257" s="658">
        <v>0.32252738906086026</v>
      </c>
      <c r="AM257" s="646"/>
    </row>
    <row r="258" spans="2:39">
      <c r="B258" s="655">
        <v>0.30804689803875601</v>
      </c>
      <c r="C258" s="656">
        <v>0.32471306716932591</v>
      </c>
      <c r="F258" s="655">
        <v>0.33944741299999998</v>
      </c>
      <c r="G258" s="656">
        <v>0.35071568199999997</v>
      </c>
      <c r="J258" s="655">
        <v>0.37546398937724407</v>
      </c>
      <c r="K258" s="656">
        <v>0.37518329800177158</v>
      </c>
      <c r="N258" s="655">
        <v>0.40125409620560082</v>
      </c>
      <c r="O258" s="656">
        <v>0.38858030756087852</v>
      </c>
      <c r="R258" s="655">
        <v>0.42795959915244486</v>
      </c>
      <c r="S258" s="656">
        <v>0.39955132100805324</v>
      </c>
      <c r="V258" s="655">
        <v>0.45227254300000003</v>
      </c>
      <c r="W258" s="656">
        <v>0.40613745000000001</v>
      </c>
      <c r="Z258" s="655">
        <v>0.34127268384304288</v>
      </c>
      <c r="AA258" s="656">
        <v>0.35251510383420809</v>
      </c>
      <c r="AC258" s="655">
        <v>0.3776005745899283</v>
      </c>
      <c r="AD258" s="656">
        <v>0.37691128027749871</v>
      </c>
      <c r="AG258" s="655">
        <v>0.30332481963808239</v>
      </c>
      <c r="AH258" s="656">
        <v>0.32172478155254031</v>
      </c>
      <c r="AK258" s="657">
        <v>0.30521149673125997</v>
      </c>
      <c r="AL258" s="658">
        <v>0.32238844528220983</v>
      </c>
      <c r="AM258" s="646"/>
    </row>
    <row r="259" spans="2:39">
      <c r="B259" s="655">
        <v>0.30804193910183997</v>
      </c>
      <c r="C259" s="656">
        <v>0.32463076305565453</v>
      </c>
      <c r="F259" s="655">
        <v>0.33944395999999999</v>
      </c>
      <c r="G259" s="656">
        <v>0.35061418300000002</v>
      </c>
      <c r="J259" s="655">
        <v>0.37544844547737977</v>
      </c>
      <c r="K259" s="656">
        <v>0.37506848715870073</v>
      </c>
      <c r="N259" s="655">
        <v>0.40123734143837347</v>
      </c>
      <c r="O259" s="656">
        <v>0.38846351997711864</v>
      </c>
      <c r="R259" s="655">
        <v>0.42794988819752799</v>
      </c>
      <c r="S259" s="656">
        <v>0.39944538730127671</v>
      </c>
      <c r="V259" s="655">
        <v>0.45227431800000001</v>
      </c>
      <c r="W259" s="656">
        <v>0.40603635599999999</v>
      </c>
      <c r="Z259" s="655">
        <v>0.34126829016720844</v>
      </c>
      <c r="AA259" s="656">
        <v>0.35244567796216703</v>
      </c>
      <c r="AC259" s="655">
        <v>0.37758764219154828</v>
      </c>
      <c r="AD259" s="656">
        <v>0.37683296947670436</v>
      </c>
      <c r="AG259" s="655">
        <v>0.30332842462242987</v>
      </c>
      <c r="AH259" s="656">
        <v>0.32155478205350918</v>
      </c>
      <c r="AK259" s="657">
        <v>0.30520323183639997</v>
      </c>
      <c r="AL259" s="658">
        <v>0.3222512717594242</v>
      </c>
      <c r="AM259" s="646"/>
    </row>
    <row r="260" spans="2:39">
      <c r="B260" s="655">
        <v>0.30803827721152233</v>
      </c>
      <c r="C260" s="656">
        <v>0.32454954616613241</v>
      </c>
      <c r="F260" s="655">
        <v>0.33944207700000001</v>
      </c>
      <c r="G260" s="656">
        <v>0.35051405000000002</v>
      </c>
      <c r="J260" s="655">
        <v>0.37543483632255192</v>
      </c>
      <c r="K260" s="656">
        <v>0.37495505665833911</v>
      </c>
      <c r="N260" s="655">
        <v>0.40122258572051794</v>
      </c>
      <c r="O260" s="656">
        <v>0.38834808378815089</v>
      </c>
      <c r="R260" s="655">
        <v>0.42794198970430614</v>
      </c>
      <c r="S260" s="656">
        <v>0.39934059728589999</v>
      </c>
      <c r="V260" s="655">
        <v>0.45227774500000001</v>
      </c>
      <c r="W260" s="656">
        <v>0.40593640800000003</v>
      </c>
      <c r="Z260" s="655">
        <v>0.34126494182343275</v>
      </c>
      <c r="AA260" s="656">
        <v>0.35237712154426909</v>
      </c>
      <c r="AC260" s="655">
        <v>0.37757599291816268</v>
      </c>
      <c r="AD260" s="656">
        <v>0.376755532001181</v>
      </c>
      <c r="AG260" s="655">
        <v>0.30333476243554697</v>
      </c>
      <c r="AH260" s="656">
        <v>0.32138680675223824</v>
      </c>
      <c r="AK260" s="657">
        <v>0.30519712868587051</v>
      </c>
      <c r="AL260" s="658">
        <v>0.3221159102768873</v>
      </c>
      <c r="AM260" s="646"/>
    </row>
    <row r="261" spans="2:39">
      <c r="B261" s="655">
        <v>0.30803591348325027</v>
      </c>
      <c r="C261" s="656">
        <v>0.32446944124021077</v>
      </c>
      <c r="F261" s="655">
        <v>0.33944176599999998</v>
      </c>
      <c r="G261" s="656">
        <v>0.350415315</v>
      </c>
      <c r="J261" s="655">
        <v>0.37542316605824094</v>
      </c>
      <c r="K261" s="656">
        <v>0.37484304105271599</v>
      </c>
      <c r="N261" s="655">
        <v>0.40120983354676876</v>
      </c>
      <c r="O261" s="656">
        <v>0.38823403415695668</v>
      </c>
      <c r="R261" s="655">
        <v>0.42793590607873694</v>
      </c>
      <c r="S261" s="656">
        <v>0.3992369828819769</v>
      </c>
      <c r="V261" s="655">
        <v>0.452282825</v>
      </c>
      <c r="W261" s="656">
        <v>0.40583763699999997</v>
      </c>
      <c r="Z261" s="655">
        <v>0.34126263983165384</v>
      </c>
      <c r="AA261" s="656">
        <v>0.35230945546346337</v>
      </c>
      <c r="AC261" s="655">
        <v>0.37756563031825319</v>
      </c>
      <c r="AD261" s="656">
        <v>0.3766789914391338</v>
      </c>
      <c r="AG261" s="655">
        <v>0.30334383114687435</v>
      </c>
      <c r="AH261" s="656">
        <v>0.32122090681563148</v>
      </c>
      <c r="AK261" s="657">
        <v>0.30519318913875043</v>
      </c>
      <c r="AL261" s="658">
        <v>0.32198240206701795</v>
      </c>
      <c r="AM261" s="646"/>
    </row>
    <row r="262" spans="2:39">
      <c r="B262" s="655">
        <v>0.30803484863703834</v>
      </c>
      <c r="C262" s="656">
        <v>0.32439047267862614</v>
      </c>
      <c r="F262" s="655">
        <v>0.33944302599999998</v>
      </c>
      <c r="G262" s="656">
        <v>0.35031800600000002</v>
      </c>
      <c r="J262" s="655">
        <v>0.37541343823932244</v>
      </c>
      <c r="K262" s="656">
        <v>0.37473247446286984</v>
      </c>
      <c r="N262" s="655">
        <v>0.40119908880156163</v>
      </c>
      <c r="O262" s="656">
        <v>0.38812140582415844</v>
      </c>
      <c r="R262" s="655">
        <v>0.42793163917395161</v>
      </c>
      <c r="S262" s="656">
        <v>0.39913457565145849</v>
      </c>
      <c r="V262" s="655">
        <v>0.45228955399999998</v>
      </c>
      <c r="W262" s="656">
        <v>0.40574007299999998</v>
      </c>
      <c r="Z262" s="655">
        <v>0.34126138489308061</v>
      </c>
      <c r="AA262" s="656">
        <v>0.35224270033149352</v>
      </c>
      <c r="AC262" s="655">
        <v>0.37755655754836792</v>
      </c>
      <c r="AD262" s="656">
        <v>0.37660337110555941</v>
      </c>
      <c r="AG262" s="655">
        <v>0.30335562799399485</v>
      </c>
      <c r="AH262" s="656">
        <v>0.32105713277841669</v>
      </c>
      <c r="AK262" s="657">
        <v>0.30519141439506392</v>
      </c>
      <c r="AL262" s="658">
        <v>0.32185078779771026</v>
      </c>
      <c r="AM262" s="646"/>
    </row>
    <row r="263" spans="2:39">
      <c r="B263" s="655">
        <v>0.30803508299724902</v>
      </c>
      <c r="C263" s="656">
        <v>0.3243126645359673</v>
      </c>
      <c r="F263" s="655">
        <v>0.33944585700000002</v>
      </c>
      <c r="G263" s="656">
        <v>0.35022215400000001</v>
      </c>
      <c r="J263" s="655">
        <v>0.37540565582898422</v>
      </c>
      <c r="K263" s="656">
        <v>0.37462339056845512</v>
      </c>
      <c r="N263" s="655">
        <v>0.40119035475784998</v>
      </c>
      <c r="O263" s="656">
        <v>0.38801023309743748</v>
      </c>
      <c r="R263" s="655">
        <v>0.42792919028969068</v>
      </c>
      <c r="S263" s="656">
        <v>0.39903340678857935</v>
      </c>
      <c r="V263" s="655">
        <v>0.45229793200000001</v>
      </c>
      <c r="W263" s="656">
        <v>0.405643745</v>
      </c>
      <c r="Z263" s="655">
        <v>0.34126117738997963</v>
      </c>
      <c r="AA263" s="656">
        <v>0.35217687648261942</v>
      </c>
      <c r="AC263" s="655">
        <v>0.37754877737216064</v>
      </c>
      <c r="AD263" s="656">
        <v>0.37652869403514394</v>
      </c>
      <c r="AG263" s="655">
        <v>0.3033701493834744</v>
      </c>
      <c r="AH263" s="656">
        <v>0.32089553452775205</v>
      </c>
      <c r="AK263" s="657">
        <v>0.30519180499541504</v>
      </c>
      <c r="AL263" s="658">
        <v>0.32172110755994554</v>
      </c>
      <c r="AM263" s="646"/>
    </row>
    <row r="264" spans="2:39">
      <c r="B264" s="655">
        <v>0.30803661649249392</v>
      </c>
      <c r="C264" s="656">
        <v>0.32423604051334831</v>
      </c>
      <c r="F264" s="655">
        <v>0.339450258</v>
      </c>
      <c r="G264" s="656">
        <v>0.350127788</v>
      </c>
      <c r="J264" s="655">
        <v>0.37539982119782395</v>
      </c>
      <c r="K264" s="656">
        <v>0.37451582259748273</v>
      </c>
      <c r="N264" s="655">
        <v>0.40118363407610819</v>
      </c>
      <c r="O264" s="656">
        <v>0.3879005498410833</v>
      </c>
      <c r="R264" s="655">
        <v>0.42792856017190806</v>
      </c>
      <c r="S264" s="656">
        <v>0.39893350711035513</v>
      </c>
      <c r="V264" s="655">
        <v>0.45230795499999998</v>
      </c>
      <c r="W264" s="656">
        <v>0.40554868399999999</v>
      </c>
      <c r="Z264" s="655">
        <v>0.34126201738555823</v>
      </c>
      <c r="AA264" s="656">
        <v>0.35211200396742309</v>
      </c>
      <c r="AC264" s="655">
        <v>0.37754229215954827</v>
      </c>
      <c r="AD264" s="656">
        <v>0.37645498297524654</v>
      </c>
      <c r="AG264" s="655">
        <v>0.30338739089195715</v>
      </c>
      <c r="AH264" s="656">
        <v>0.32073616128803023</v>
      </c>
      <c r="AK264" s="657">
        <v>0.30519436082082324</v>
      </c>
      <c r="AL264" s="658">
        <v>0.32159340085558052</v>
      </c>
      <c r="AM264" s="646"/>
    </row>
    <row r="265" spans="2:39">
      <c r="B265" s="655">
        <v>0.30803944865565558</v>
      </c>
      <c r="C265" s="656">
        <v>0.32416062395118866</v>
      </c>
      <c r="F265" s="655">
        <v>0.339456227</v>
      </c>
      <c r="G265" s="656">
        <v>0.35003493600000002</v>
      </c>
      <c r="J265" s="655">
        <v>0.37539593612312666</v>
      </c>
      <c r="K265" s="656">
        <v>0.37440980331619866</v>
      </c>
      <c r="N265" s="655">
        <v>0.40117892880352096</v>
      </c>
      <c r="O265" s="656">
        <v>0.38779238946567823</v>
      </c>
      <c r="R265" s="655">
        <v>0.42792974901254371</v>
      </c>
      <c r="S265" s="656">
        <v>0.39883490704719549</v>
      </c>
      <c r="V265" s="655">
        <v>0.45231961999999998</v>
      </c>
      <c r="W265" s="656">
        <v>0.405454918</v>
      </c>
      <c r="Z265" s="655">
        <v>0.34126390462394568</v>
      </c>
      <c r="AA265" s="656">
        <v>0.35204810254670105</v>
      </c>
      <c r="AC265" s="655">
        <v>0.37753710388598949</v>
      </c>
      <c r="AD265" s="656">
        <v>0.37638226037897005</v>
      </c>
      <c r="AG265" s="655">
        <v>0.30340734726751262</v>
      </c>
      <c r="AH265" s="656">
        <v>0.3205790616058839</v>
      </c>
      <c r="AK265" s="657">
        <v>0.30519908109275923</v>
      </c>
      <c r="AL265" s="658">
        <v>0.32146770658531443</v>
      </c>
      <c r="AM265" s="646"/>
    </row>
    <row r="266" spans="2:39">
      <c r="B266" s="655">
        <v>0.30804357862402953</v>
      </c>
      <c r="C266" s="656">
        <v>0.32408643782210378</v>
      </c>
      <c r="F266" s="655">
        <v>0.339463764</v>
      </c>
      <c r="G266" s="656">
        <v>0.34994362699999998</v>
      </c>
      <c r="J266" s="655">
        <v>0.37539400178832388</v>
      </c>
      <c r="K266" s="656">
        <v>0.37430536501910305</v>
      </c>
      <c r="N266" s="655">
        <v>0.40117624037335997</v>
      </c>
      <c r="O266" s="656">
        <v>0.3876857849179205</v>
      </c>
      <c r="R266" s="655">
        <v>0.42793275644946527</v>
      </c>
      <c r="S266" s="656">
        <v>0.39873763663363487</v>
      </c>
      <c r="V266" s="655">
        <v>0.45233292400000003</v>
      </c>
      <c r="W266" s="656">
        <v>0.405362475</v>
      </c>
      <c r="Z266" s="655">
        <v>0.3412668385302709</v>
      </c>
      <c r="AA266" s="656">
        <v>0.35198519168544518</v>
      </c>
      <c r="AC266" s="655">
        <v>0.37753321413188262</v>
      </c>
      <c r="AD266" s="656">
        <v>0.37631054839832179</v>
      </c>
      <c r="AG266" s="655">
        <v>0.30343001243123541</v>
      </c>
      <c r="AH266" s="656">
        <v>0.32042428333539813</v>
      </c>
      <c r="AK266" s="657">
        <v>0.30520596437338254</v>
      </c>
      <c r="AL266" s="658">
        <v>0.32134406303683966</v>
      </c>
      <c r="AM266" s="646"/>
    </row>
    <row r="267" spans="2:39">
      <c r="B267" s="655">
        <v>0.30804900513958755</v>
      </c>
      <c r="C267" s="656">
        <v>0.32401350472390728</v>
      </c>
      <c r="F267" s="655">
        <v>0.33947286500000001</v>
      </c>
      <c r="G267" s="656">
        <v>0.34985388899999997</v>
      </c>
      <c r="J267" s="655">
        <v>0.37539401878263268</v>
      </c>
      <c r="K267" s="656">
        <v>0.37420253951911292</v>
      </c>
      <c r="N267" s="655">
        <v>0.40117556960454703</v>
      </c>
      <c r="O267" s="656">
        <v>0.38758076867058794</v>
      </c>
      <c r="R267" s="655">
        <v>0.42793758156657835</v>
      </c>
      <c r="S267" s="656">
        <v>0.39864172549918359</v>
      </c>
      <c r="V267" s="655">
        <v>0.45234786399999999</v>
      </c>
      <c r="W267" s="656">
        <v>0.40527138400000001</v>
      </c>
      <c r="Z267" s="655">
        <v>0.34127081821083755</v>
      </c>
      <c r="AA267" s="656">
        <v>0.35192329054691318</v>
      </c>
      <c r="AC267" s="655">
        <v>0.37753062408208443</v>
      </c>
      <c r="AD267" s="656">
        <v>0.37623986887746574</v>
      </c>
      <c r="AG267" s="655">
        <v>0.30345537947909723</v>
      </c>
      <c r="AH267" s="656">
        <v>0.32027187362353343</v>
      </c>
      <c r="AK267" s="657">
        <v>0.30521500856597922</v>
      </c>
      <c r="AL267" s="658">
        <v>0.3212225078731788</v>
      </c>
      <c r="AM267" s="646"/>
    </row>
    <row r="268" spans="2:39">
      <c r="B268" s="655">
        <v>0.30805572654936031</v>
      </c>
      <c r="C268" s="656">
        <v>0.32394184687272737</v>
      </c>
      <c r="F268" s="655">
        <v>0.33948352700000001</v>
      </c>
      <c r="G268" s="656">
        <v>0.34976574900000001</v>
      </c>
      <c r="J268" s="655">
        <v>0.3753959871008764</v>
      </c>
      <c r="K268" s="656">
        <v>0.37410135813787165</v>
      </c>
      <c r="N268" s="655">
        <v>0.40117691670140487</v>
      </c>
      <c r="O268" s="656">
        <v>0.38747737271264693</v>
      </c>
      <c r="R268" s="655">
        <v>0.42794422289410544</v>
      </c>
      <c r="S268" s="656">
        <v>0.39854720285930217</v>
      </c>
      <c r="V268" s="655">
        <v>0.45236443300000001</v>
      </c>
      <c r="W268" s="656">
        <v>0.40518167300000002</v>
      </c>
      <c r="Z268" s="655">
        <v>0.34127584245339643</v>
      </c>
      <c r="AA268" s="656">
        <v>0.35186241798679152</v>
      </c>
      <c r="AC268" s="655">
        <v>0.37752933452554926</v>
      </c>
      <c r="AD268" s="656">
        <v>0.37617024334606869</v>
      </c>
      <c r="AG268" s="655">
        <v>0.30348344068404942</v>
      </c>
      <c r="AH268" s="656">
        <v>0.32012187889576449</v>
      </c>
      <c r="AK268" s="657">
        <v>0.30522621091560048</v>
      </c>
      <c r="AL268" s="658">
        <v>0.3211030781212123</v>
      </c>
      <c r="AM268" s="646"/>
    </row>
    <row r="269" spans="2:39">
      <c r="B269" s="655">
        <v>0.30806374080594134</v>
      </c>
      <c r="C269" s="656">
        <v>0.32387148609623967</v>
      </c>
      <c r="F269" s="655">
        <v>0.33949574799999999</v>
      </c>
      <c r="G269" s="656">
        <v>0.34967923299999998</v>
      </c>
      <c r="J269" s="655">
        <v>0.37539990614348628</v>
      </c>
      <c r="K269" s="656">
        <v>0.37400185169620809</v>
      </c>
      <c r="N269" s="655">
        <v>0.40118028125359467</v>
      </c>
      <c r="O269" s="656">
        <v>0.3873756285395078</v>
      </c>
      <c r="R269" s="655">
        <v>0.42795267840903389</v>
      </c>
      <c r="S269" s="656">
        <v>0.39845409750650251</v>
      </c>
      <c r="V269" s="655">
        <v>0.45238262800000001</v>
      </c>
      <c r="W269" s="656">
        <v>0.40509336800000001</v>
      </c>
      <c r="Z269" s="655">
        <v>0.3412819097275146</v>
      </c>
      <c r="AA269" s="656">
        <v>0.35180259254745166</v>
      </c>
      <c r="AC269" s="655">
        <v>0.37752934585508846</v>
      </c>
      <c r="AD269" s="656">
        <v>0.37610169301274193</v>
      </c>
      <c r="AG269" s="655">
        <v>0.30351418749837716</v>
      </c>
      <c r="AH269" s="656">
        <v>0.31997434484193843</v>
      </c>
      <c r="AK269" s="657">
        <v>0.30523956800990226</v>
      </c>
      <c r="AL269" s="658">
        <v>0.32098581016039945</v>
      </c>
      <c r="AM269" s="646"/>
    </row>
    <row r="270" spans="2:39">
      <c r="B270" s="655">
        <v>0.30807304546811048</v>
      </c>
      <c r="C270" s="656">
        <v>0.32380244382701834</v>
      </c>
      <c r="F270" s="655">
        <v>0.33950952499999998</v>
      </c>
      <c r="G270" s="656">
        <v>0.34959436900000002</v>
      </c>
      <c r="J270" s="655">
        <v>0.37540577471668396</v>
      </c>
      <c r="K270" s="656">
        <v>0.3739040505047484</v>
      </c>
      <c r="N270" s="655">
        <v>0.4011856622362413</v>
      </c>
      <c r="O270" s="656">
        <v>0.38727556714343131</v>
      </c>
      <c r="R270" s="655">
        <v>0.42796294553573194</v>
      </c>
      <c r="S270" s="656">
        <v>0.39836243780157699</v>
      </c>
      <c r="V270" s="655">
        <v>0.45240244200000002</v>
      </c>
      <c r="W270" s="656">
        <v>0.40500649700000002</v>
      </c>
      <c r="Z270" s="655">
        <v>0.34128901818504148</v>
      </c>
      <c r="AA270" s="656">
        <v>0.35174383245230206</v>
      </c>
      <c r="AC270" s="655">
        <v>0.37753065806725095</v>
      </c>
      <c r="AD270" s="656">
        <v>0.37603423875858111</v>
      </c>
      <c r="AG270" s="655">
        <v>0.30354761055630303</v>
      </c>
      <c r="AH270" s="656">
        <v>0.31982931640235723</v>
      </c>
      <c r="AK270" s="657">
        <v>0.30525507578018413</v>
      </c>
      <c r="AL270" s="658">
        <v>0.32087073971169722</v>
      </c>
      <c r="AM270" s="646"/>
    </row>
    <row r="271" spans="2:39">
      <c r="B271" s="655">
        <v>0.30808363770157743</v>
      </c>
      <c r="C271" s="656">
        <v>0.32373474109600736</v>
      </c>
      <c r="F271" s="655">
        <v>0.33952485100000002</v>
      </c>
      <c r="G271" s="656">
        <v>0.34951118199999998</v>
      </c>
      <c r="J271" s="655">
        <v>0.37541359103284516</v>
      </c>
      <c r="K271" s="656">
        <v>0.37380798435468282</v>
      </c>
      <c r="N271" s="655">
        <v>0.4011930580102453</v>
      </c>
      <c r="O271" s="656">
        <v>0.38717721900408802</v>
      </c>
      <c r="R271" s="655">
        <v>0.42797502114673341</v>
      </c>
      <c r="S271" s="656">
        <v>0.39827225166495961</v>
      </c>
      <c r="V271" s="655">
        <v>0.45242387099999998</v>
      </c>
      <c r="W271" s="656">
        <v>0.40492108599999999</v>
      </c>
      <c r="Z271" s="655">
        <v>0.3412971656606722</v>
      </c>
      <c r="AA271" s="656">
        <v>0.3516861556002368</v>
      </c>
      <c r="AC271" s="655">
        <v>0.37753327076232418</v>
      </c>
      <c r="AD271" s="656">
        <v>0.37596790113080542</v>
      </c>
      <c r="AG271" s="655">
        <v>0.30358369967683974</v>
      </c>
      <c r="AH271" s="656">
        <v>0.31968683775408846</v>
      </c>
      <c r="AK271" s="657">
        <v>0.30527272950262907</v>
      </c>
      <c r="AL271" s="658">
        <v>0.3207579018266789</v>
      </c>
      <c r="AM271" s="646"/>
    </row>
    <row r="272" spans="2:39">
      <c r="B272" s="655">
        <v>0.30809551427984533</v>
      </c>
      <c r="C272" s="656">
        <v>0.32366839852611445</v>
      </c>
      <c r="F272" s="655">
        <v>0.33954172399999999</v>
      </c>
      <c r="G272" s="656">
        <v>0.34942969800000001</v>
      </c>
      <c r="J272" s="655">
        <v>0.37542335271104432</v>
      </c>
      <c r="K272" s="656">
        <v>0.3737136825086913</v>
      </c>
      <c r="N272" s="655">
        <v>0.40120246632278228</v>
      </c>
      <c r="O272" s="656">
        <v>0.38708061407927397</v>
      </c>
      <c r="R272" s="655">
        <v>0.42798890156369007</v>
      </c>
      <c r="S272" s="656">
        <v>0.39818356656822124</v>
      </c>
      <c r="V272" s="655">
        <v>0.45244690599999998</v>
      </c>
      <c r="W272" s="656">
        <v>0.404837161</v>
      </c>
      <c r="Z272" s="655">
        <v>0.34130634967260659</v>
      </c>
      <c r="AA272" s="656">
        <v>0.35162957956018381</v>
      </c>
      <c r="AC272" s="655">
        <v>0.37753718314445595</v>
      </c>
      <c r="AD272" s="656">
        <v>0.37590270033649892</v>
      </c>
      <c r="AG272" s="655">
        <v>0.30362244386689152</v>
      </c>
      <c r="AH272" s="656">
        <v>0.31954695229750868</v>
      </c>
      <c r="AK272" s="657">
        <v>0.3052925237997422</v>
      </c>
      <c r="AL272" s="658">
        <v>0.32064733087685743</v>
      </c>
      <c r="AM272" s="646"/>
    </row>
    <row r="273" spans="2:39">
      <c r="B273" s="655">
        <v>0.30810867158519334</v>
      </c>
      <c r="C273" s="656">
        <v>0.32360343632592914</v>
      </c>
      <c r="F273" s="655">
        <v>0.33956013699999998</v>
      </c>
      <c r="G273" s="656">
        <v>0.34934994000000003</v>
      </c>
      <c r="J273" s="655">
        <v>0.37543505677777961</v>
      </c>
      <c r="K273" s="656">
        <v>0.37362117369202974</v>
      </c>
      <c r="N273" s="655">
        <v>0.40121388430798904</v>
      </c>
      <c r="O273" s="656">
        <v>0.38698578179578497</v>
      </c>
      <c r="R273" s="655">
        <v>0.42800458255849255</v>
      </c>
      <c r="S273" s="656">
        <v>0.39809640952570147</v>
      </c>
      <c r="V273" s="655">
        <v>0.452471542</v>
      </c>
      <c r="W273" s="656">
        <v>0.404754748</v>
      </c>
      <c r="Z273" s="655">
        <v>0.34131656742330579</v>
      </c>
      <c r="AA273" s="656">
        <v>0.35157412156575296</v>
      </c>
      <c r="AC273" s="655">
        <v>0.37754239402189677</v>
      </c>
      <c r="AD273" s="656">
        <v>0.37583865623645518</v>
      </c>
      <c r="AG273" s="655">
        <v>0.3036638313246029</v>
      </c>
      <c r="AH273" s="656">
        <v>0.31940970264308305</v>
      </c>
      <c r="AK273" s="657">
        <v>0.30531445264198886</v>
      </c>
      <c r="AL273" s="658">
        <v>0.32053906054321518</v>
      </c>
      <c r="AM273" s="646"/>
    </row>
    <row r="274" spans="2:39">
      <c r="B274" s="655">
        <v>0.30812310560977879</v>
      </c>
      <c r="C274" s="656">
        <v>0.32353987428356679</v>
      </c>
      <c r="F274" s="655">
        <v>0.339580086</v>
      </c>
      <c r="G274" s="656">
        <v>0.34927193499999998</v>
      </c>
      <c r="J274" s="655">
        <v>0.37544869966787903</v>
      </c>
      <c r="K274" s="656">
        <v>0.3735304860837797</v>
      </c>
      <c r="N274" s="655">
        <v>0.40122730848783678</v>
      </c>
      <c r="O274" s="656">
        <v>0.38689275104045334</v>
      </c>
      <c r="R274" s="655">
        <v>0.42802205935455795</v>
      </c>
      <c r="S274" s="656">
        <v>0.39801080708627973</v>
      </c>
      <c r="V274" s="655">
        <v>0.45249777000000002</v>
      </c>
      <c r="W274" s="656">
        <v>0.40467387199999999</v>
      </c>
      <c r="Z274" s="655">
        <v>0.34132781580034388</v>
      </c>
      <c r="AA274" s="656">
        <v>0.35151979850998655</v>
      </c>
      <c r="AC274" s="655">
        <v>0.37754890180736284</v>
      </c>
      <c r="AD274" s="656">
        <v>0.37577578833912756</v>
      </c>
      <c r="AG274" s="655">
        <v>0.3037078494429532</v>
      </c>
      <c r="AH274" s="656">
        <v>0.3192751305983858</v>
      </c>
      <c r="AK274" s="657">
        <v>0.3053385093496313</v>
      </c>
      <c r="AL274" s="658">
        <v>0.32043312380594469</v>
      </c>
      <c r="AM274" s="646"/>
    </row>
    <row r="275" spans="2:39">
      <c r="B275" s="655">
        <v>0.30813881195685799</v>
      </c>
      <c r="C275" s="656">
        <v>0.32347773176064137</v>
      </c>
      <c r="F275" s="655">
        <v>0.339601563</v>
      </c>
      <c r="G275" s="656">
        <v>0.349195704</v>
      </c>
      <c r="J275" s="655">
        <v>0.37546427722558601</v>
      </c>
      <c r="K275" s="656">
        <v>0.37344164730826529</v>
      </c>
      <c r="N275" s="655">
        <v>0.40124273477319017</v>
      </c>
      <c r="O275" s="656">
        <v>0.38680155015134832</v>
      </c>
      <c r="R275" s="655">
        <v>0.42804132662828476</v>
      </c>
      <c r="S275" s="656">
        <v>0.39792678532528841</v>
      </c>
      <c r="V275" s="655">
        <v>0.45252558300000001</v>
      </c>
      <c r="W275" s="656">
        <v>0.40459455700000002</v>
      </c>
      <c r="Z275" s="655">
        <v>0.34134009137735627</v>
      </c>
      <c r="AA275" s="656">
        <v>0.35146662694021363</v>
      </c>
      <c r="AC275" s="655">
        <v>0.37755670451851975</v>
      </c>
      <c r="AD275" s="656">
        <v>0.3757141157946865</v>
      </c>
      <c r="AG275" s="655">
        <v>0.30375448481359724</v>
      </c>
      <c r="AH275" s="656">
        <v>0.3191432771553655</v>
      </c>
      <c r="AK275" s="657">
        <v>0.30536468659476335</v>
      </c>
      <c r="AL275" s="658">
        <v>0.3203295529344023</v>
      </c>
      <c r="AM275" s="646"/>
    </row>
    <row r="276" spans="2:39">
      <c r="B276" s="655">
        <v>0.3081557858421255</v>
      </c>
      <c r="C276" s="656">
        <v>0.32341702768636732</v>
      </c>
      <c r="F276" s="655">
        <v>0.33962456400000002</v>
      </c>
      <c r="G276" s="656">
        <v>0.34912127199999998</v>
      </c>
      <c r="J276" s="655">
        <v>0.37548178470582566</v>
      </c>
      <c r="K276" s="656">
        <v>0.37335468442663811</v>
      </c>
      <c r="N276" s="655">
        <v>0.40126015846505336</v>
      </c>
      <c r="O276" s="656">
        <v>0.38671220690914415</v>
      </c>
      <c r="R276" s="655">
        <v>0.42806237851067491</v>
      </c>
      <c r="S276" s="656">
        <v>0.39784436983656973</v>
      </c>
      <c r="V276" s="655">
        <v>0.45255497099999997</v>
      </c>
      <c r="W276" s="656">
        <v>0.40451682799999999</v>
      </c>
      <c r="Z276" s="655">
        <v>0.34135339041508328</v>
      </c>
      <c r="AA276" s="656">
        <v>0.35141462305300947</v>
      </c>
      <c r="AC276" s="655">
        <v>0.37756579977858601</v>
      </c>
      <c r="AD276" s="656">
        <v>0.37565365738918649</v>
      </c>
      <c r="AG276" s="655">
        <v>0.30380372323094929</v>
      </c>
      <c r="AH276" s="656">
        <v>0.31901418247785812</v>
      </c>
      <c r="AK276" s="657">
        <v>0.30539297640354252</v>
      </c>
      <c r="AL276" s="658">
        <v>0.32022837947727884</v>
      </c>
      <c r="AM276" s="646"/>
    </row>
    <row r="277" spans="2:39">
      <c r="B277" s="655">
        <v>0.30817402209517136</v>
      </c>
      <c r="C277" s="656">
        <v>0.32335778055179365</v>
      </c>
      <c r="F277" s="655">
        <v>0.33964907900000002</v>
      </c>
      <c r="G277" s="656">
        <v>0.34904866099999998</v>
      </c>
      <c r="J277" s="655">
        <v>0.37550121677564979</v>
      </c>
      <c r="K277" s="656">
        <v>0.37326962392863428</v>
      </c>
      <c r="N277" s="655">
        <v>0.40127957425600091</v>
      </c>
      <c r="O277" s="656">
        <v>0.38662474852865797</v>
      </c>
      <c r="R277" s="655">
        <v>0.42808520858912097</v>
      </c>
      <c r="S277" s="656">
        <v>0.39776358572468001</v>
      </c>
      <c r="V277" s="655">
        <v>0.45258592800000003</v>
      </c>
      <c r="W277" s="656">
        <v>0.40444070799999998</v>
      </c>
      <c r="Z277" s="655">
        <v>0.34136770886250922</v>
      </c>
      <c r="AA277" s="656">
        <v>0.35136380268926187</v>
      </c>
      <c r="AC277" s="655">
        <v>0.37757618481705735</v>
      </c>
      <c r="AD277" s="656">
        <v>0.37559443153884353</v>
      </c>
      <c r="AG277" s="655">
        <v>0.30385554969651046</v>
      </c>
      <c r="AH277" s="656">
        <v>0.31888788588935296</v>
      </c>
      <c r="AK277" s="657">
        <v>0.30542337015861898</v>
      </c>
      <c r="AL277" s="658">
        <v>0.32012963425298946</v>
      </c>
      <c r="AM277" s="646"/>
    </row>
    <row r="278" spans="2:39">
      <c r="B278" s="655">
        <v>0.30819351516105631</v>
      </c>
      <c r="C278" s="656">
        <v>0.32330000840417156</v>
      </c>
      <c r="F278" s="655">
        <v>0.33967510299999998</v>
      </c>
      <c r="G278" s="656">
        <v>0.34897789400000001</v>
      </c>
      <c r="J278" s="655">
        <v>0.37552256751586172</v>
      </c>
      <c r="K278" s="656">
        <v>0.37318649172450546</v>
      </c>
      <c r="N278" s="655">
        <v>0.40130097623179489</v>
      </c>
      <c r="O278" s="656">
        <v>0.38653920165055972</v>
      </c>
      <c r="R278" s="655">
        <v>0.42810980990935993</v>
      </c>
      <c r="S278" s="656">
        <v>0.3976844575972423</v>
      </c>
      <c r="V278" s="655">
        <v>0.45261844200000001</v>
      </c>
      <c r="W278" s="656">
        <v>0.40436622100000003</v>
      </c>
      <c r="Z278" s="655">
        <v>0.34138304235809624</v>
      </c>
      <c r="AA278" s="656">
        <v>0.35131418132934589</v>
      </c>
      <c r="AC278" s="655">
        <v>0.37758785647055043</v>
      </c>
      <c r="AD278" s="656">
        <v>0.37553645628442539</v>
      </c>
      <c r="AG278" s="655">
        <v>0.30390994842343733</v>
      </c>
      <c r="AH278" s="656">
        <v>0.31876442586101439</v>
      </c>
      <c r="AK278" s="657">
        <v>0.30545585860176055</v>
      </c>
      <c r="AL278" s="658">
        <v>0.32003334734028593</v>
      </c>
      <c r="AM278" s="646"/>
    </row>
    <row r="279" spans="2:39">
      <c r="B279" s="655">
        <v>0.30821425910200362</v>
      </c>
      <c r="C279" s="656">
        <v>0.32324372884145686</v>
      </c>
      <c r="F279" s="655">
        <v>0.33970262699999998</v>
      </c>
      <c r="G279" s="656">
        <v>0.348908991</v>
      </c>
      <c r="J279" s="655">
        <v>0.37554583042281919</v>
      </c>
      <c r="K279" s="656">
        <v>0.37310531313712647</v>
      </c>
      <c r="N279" s="655">
        <v>0.4013243578731861</v>
      </c>
      <c r="O279" s="656">
        <v>0.3864555923332571</v>
      </c>
      <c r="R279" s="655">
        <v>0.42813617497759138</v>
      </c>
      <c r="S279" s="656">
        <v>0.39760700955745071</v>
      </c>
      <c r="V279" s="655">
        <v>0.45265250400000001</v>
      </c>
      <c r="W279" s="656">
        <v>0.404293389</v>
      </c>
      <c r="Z279" s="655">
        <v>0.3413993862311131</v>
      </c>
      <c r="AA279" s="656">
        <v>0.35126577408840848</v>
      </c>
      <c r="AC279" s="655">
        <v>0.37760081118376648</v>
      </c>
      <c r="AD279" s="656">
        <v>0.37547974928575617</v>
      </c>
      <c r="AG279" s="655">
        <v>0.30396690284135069</v>
      </c>
      <c r="AH279" s="656">
        <v>0.31864383999996299</v>
      </c>
      <c r="AK279" s="657">
        <v>0.30549043183667268</v>
      </c>
      <c r="AL279" s="658">
        <v>0.31993954806909475</v>
      </c>
      <c r="AM279" s="646"/>
    </row>
    <row r="280" spans="2:39">
      <c r="B280" s="655">
        <v>0.30823624759920792</v>
      </c>
      <c r="C280" s="656">
        <v>0.32318895900694949</v>
      </c>
      <c r="F280" s="655">
        <v>0.33973164300000003</v>
      </c>
      <c r="G280" s="656">
        <v>0.348841974</v>
      </c>
      <c r="J280" s="655">
        <v>0.37557099841041541</v>
      </c>
      <c r="K280" s="656">
        <v>0.37302611289428134</v>
      </c>
      <c r="N280" s="655">
        <v>0.4013497120579001</v>
      </c>
      <c r="O280" s="656">
        <v>0.38637394604495823</v>
      </c>
      <c r="R280" s="655">
        <v>0.42816429576276005</v>
      </c>
      <c r="S280" s="656">
        <v>0.39753126519672843</v>
      </c>
      <c r="V280" s="655">
        <v>0.45268810300000001</v>
      </c>
      <c r="W280" s="656">
        <v>0.40422223400000001</v>
      </c>
      <c r="Z280" s="655">
        <v>0.34141673550305768</v>
      </c>
      <c r="AA280" s="656">
        <v>0.35121859571176417</v>
      </c>
      <c r="AC280" s="655">
        <v>0.37761504501057447</v>
      </c>
      <c r="AD280" s="656">
        <v>0.37542432781633694</v>
      </c>
      <c r="AG280" s="655">
        <v>0.30402639560138306</v>
      </c>
      <c r="AH280" s="656">
        <v>0.31852616503782022</v>
      </c>
      <c r="AK280" s="657">
        <v>0.30552707933201317</v>
      </c>
      <c r="AL280" s="658">
        <v>0.31984826501158248</v>
      </c>
      <c r="AM280" s="646"/>
    </row>
    <row r="281" spans="2:39">
      <c r="B281" s="655">
        <v>0.30825947395475994</v>
      </c>
      <c r="C281" s="656">
        <v>0.32313571558407167</v>
      </c>
      <c r="F281" s="655">
        <v>0.33976214199999999</v>
      </c>
      <c r="G281" s="656">
        <v>0.34877686299999999</v>
      </c>
      <c r="J281" s="655">
        <v>0.37559806381223748</v>
      </c>
      <c r="K281" s="656">
        <v>0.37294891512113126</v>
      </c>
      <c r="N281" s="655">
        <v>0.40137703106280659</v>
      </c>
      <c r="O281" s="656">
        <v>0.38629428765591328</v>
      </c>
      <c r="R281" s="655">
        <v>0.42819416369900237</v>
      </c>
      <c r="S281" s="656">
        <v>0.39745724758754153</v>
      </c>
      <c r="V281" s="655">
        <v>0.45272522900000001</v>
      </c>
      <c r="W281" s="656">
        <v>0.40415277799999999</v>
      </c>
      <c r="Z281" s="655">
        <v>0.34143508488917373</v>
      </c>
      <c r="AA281" s="656">
        <v>0.35117266057040353</v>
      </c>
      <c r="AC281" s="655">
        <v>0.37763055361521281</v>
      </c>
      <c r="AD281" s="656">
        <v>0.3753702087580843</v>
      </c>
      <c r="AG281" s="655">
        <v>0.30408840858146347</v>
      </c>
      <c r="AH281" s="656">
        <v>0.3184114368195195</v>
      </c>
      <c r="AK281" s="657">
        <v>0.30556578992459987</v>
      </c>
      <c r="AL281" s="658">
        <v>0.31975952597345281</v>
      </c>
      <c r="AM281" s="646"/>
    </row>
    <row r="282" spans="2:39">
      <c r="B282" s="655">
        <v>0.30828393109368679</v>
      </c>
      <c r="C282" s="656">
        <v>0.32308401479128579</v>
      </c>
      <c r="F282" s="655">
        <v>0.33979411399999998</v>
      </c>
      <c r="G282" s="656">
        <v>0.348713679</v>
      </c>
      <c r="J282" s="655">
        <v>0.37562701838390183</v>
      </c>
      <c r="K282" s="656">
        <v>0.37287374333286583</v>
      </c>
      <c r="N282" s="655">
        <v>0.40140630656627208</v>
      </c>
      <c r="O282" s="656">
        <v>0.38621664143083934</v>
      </c>
      <c r="R282" s="655">
        <v>0.42822576968825571</v>
      </c>
      <c r="S282" s="656">
        <v>0.39738497927637073</v>
      </c>
      <c r="V282" s="655">
        <v>0.45276387099999998</v>
      </c>
      <c r="W282" s="656">
        <v>0.40408504299999998</v>
      </c>
      <c r="Z282" s="655">
        <v>0.34145442880006055</v>
      </c>
      <c r="AA282" s="656">
        <v>0.35112798265661554</v>
      </c>
      <c r="AC282" s="655">
        <v>0.37764733227361025</v>
      </c>
      <c r="AD282" s="656">
        <v>0.37531740859618756</v>
      </c>
      <c r="AG282" s="655">
        <v>0.30415292289183748</v>
      </c>
      <c r="AH282" s="656">
        <v>0.31829969029238747</v>
      </c>
      <c r="AK282" s="657">
        <v>0.30560655182281127</v>
      </c>
      <c r="AL282" s="658">
        <v>0.3196733579854763</v>
      </c>
      <c r="AM282" s="646"/>
    </row>
    <row r="283" spans="2:39">
      <c r="B283" s="655">
        <v>0.30830961156610703</v>
      </c>
      <c r="C283" s="656">
        <v>0.32303387237715409</v>
      </c>
      <c r="F283" s="655">
        <v>0.33982755100000001</v>
      </c>
      <c r="G283" s="656">
        <v>0.34865244000000001</v>
      </c>
      <c r="J283" s="655">
        <v>0.3756578533055655</v>
      </c>
      <c r="K283" s="656">
        <v>0.37280062042753992</v>
      </c>
      <c r="N283" s="655">
        <v>0.40143752965069457</v>
      </c>
      <c r="O283" s="656">
        <v>0.38614103102152875</v>
      </c>
      <c r="R283" s="655">
        <v>0.42825910410302948</v>
      </c>
      <c r="S283" s="656">
        <v>0.39731448227684374</v>
      </c>
      <c r="V283" s="655">
        <v>0.45280401599999998</v>
      </c>
      <c r="W283" s="656">
        <v>0.40401904799999999</v>
      </c>
      <c r="Z283" s="655">
        <v>0.34147476134337534</v>
      </c>
      <c r="AA283" s="656">
        <v>0.35108457557972561</v>
      </c>
      <c r="AC283" s="655">
        <v>0.37766537587482496</v>
      </c>
      <c r="AD283" s="656">
        <v>0.37526594341408753</v>
      </c>
      <c r="AG283" s="655">
        <v>0.30421991888082112</v>
      </c>
      <c r="AH283" s="656">
        <v>0.31819095949549886</v>
      </c>
      <c r="AK283" s="657">
        <v>0.30564935261017834</v>
      </c>
      <c r="AL283" s="658">
        <v>0.31958978729525683</v>
      </c>
      <c r="AM283" s="646"/>
    </row>
    <row r="284" spans="2:39">
      <c r="B284" s="655">
        <v>0.30833650754949998</v>
      </c>
      <c r="C284" s="656">
        <v>0.32298530361554173</v>
      </c>
      <c r="F284" s="655">
        <v>0.33986244100000002</v>
      </c>
      <c r="G284" s="656">
        <v>0.34859316400000001</v>
      </c>
      <c r="J284" s="655">
        <v>0.37569055918461258</v>
      </c>
      <c r="K284" s="656">
        <v>0.37272956867909884</v>
      </c>
      <c r="N284" s="655">
        <v>0.40147069080522008</v>
      </c>
      <c r="O284" s="656">
        <v>0.38606747945964459</v>
      </c>
      <c r="R284" s="655">
        <v>0.42829415678933802</v>
      </c>
      <c r="S284" s="656">
        <v>0.39724577806302946</v>
      </c>
      <c r="V284" s="655">
        <v>0.45284565199999999</v>
      </c>
      <c r="W284" s="656">
        <v>0.40395481500000002</v>
      </c>
      <c r="Z284" s="655">
        <v>0.34149607632562856</v>
      </c>
      <c r="AA284" s="656">
        <v>0.35104245256194982</v>
      </c>
      <c r="AC284" s="655">
        <v>0.37768467892260121</v>
      </c>
      <c r="AD284" s="656">
        <v>0.37521582888857724</v>
      </c>
      <c r="AG284" s="655">
        <v>0.3042893761407871</v>
      </c>
      <c r="AH284" s="656">
        <v>0.31808527754930765</v>
      </c>
      <c r="AK284" s="657">
        <v>0.30569417924916664</v>
      </c>
      <c r="AL284" s="658">
        <v>0.31950883935923624</v>
      </c>
      <c r="AM284" s="646"/>
    </row>
    <row r="285" spans="2:39">
      <c r="B285" s="655">
        <v>0.30836461085108857</v>
      </c>
      <c r="C285" s="656">
        <v>0.322938323300964</v>
      </c>
      <c r="F285" s="655">
        <v>0.33989877400000001</v>
      </c>
      <c r="G285" s="656">
        <v>0.348535871</v>
      </c>
      <c r="J285" s="655">
        <v>0.37572512605851555</v>
      </c>
      <c r="K285" s="656">
        <v>0.37266060973059345</v>
      </c>
      <c r="N285" s="655">
        <v>0.40150577992863973</v>
      </c>
      <c r="O285" s="656">
        <v>0.38599600914970511</v>
      </c>
      <c r="R285" s="655">
        <v>0.42833091706979359</v>
      </c>
      <c r="S285" s="656">
        <v>0.39717888756289704</v>
      </c>
      <c r="V285" s="655">
        <v>0.45288876700000003</v>
      </c>
      <c r="W285" s="656">
        <v>0.40389236099999998</v>
      </c>
      <c r="Z285" s="655">
        <v>0.34151836725407014</v>
      </c>
      <c r="AA285" s="656">
        <v>0.3510016264343675</v>
      </c>
      <c r="AC285" s="655">
        <v>0.37770523553704366</v>
      </c>
      <c r="AD285" s="656">
        <v>0.3751670802850266</v>
      </c>
      <c r="AG285" s="655">
        <v>0.30436127351438136</v>
      </c>
      <c r="AH285" s="656">
        <v>0.3179826766455584</v>
      </c>
      <c r="AK285" s="657">
        <v>0.30574101808514764</v>
      </c>
      <c r="AL285" s="658">
        <v>0.31943053883493999</v>
      </c>
      <c r="AM285" s="646"/>
    </row>
    <row r="286" spans="2:39">
      <c r="B286" s="655">
        <v>0.30839391291033491</v>
      </c>
      <c r="C286" s="656">
        <v>0.32289294574407978</v>
      </c>
      <c r="F286" s="655">
        <v>0.33993654000000001</v>
      </c>
      <c r="G286" s="656">
        <v>0.34848057799999999</v>
      </c>
      <c r="J286" s="655">
        <v>0.37576154339786966</v>
      </c>
      <c r="K286" s="656">
        <v>0.37259376458758753</v>
      </c>
      <c r="N286" s="655">
        <v>0.40154278633246659</v>
      </c>
      <c r="O286" s="656">
        <v>0.38592664186225911</v>
      </c>
      <c r="R286" s="655">
        <v>0.42836937374685863</v>
      </c>
      <c r="S286" s="656">
        <v>0.39711383115194082</v>
      </c>
      <c r="V286" s="655">
        <v>0.45293334800000001</v>
      </c>
      <c r="W286" s="656">
        <v>0.40383170800000001</v>
      </c>
      <c r="Z286" s="655">
        <v>0.34154162733866722</v>
      </c>
      <c r="AA286" s="656">
        <v>0.3509621096330125</v>
      </c>
      <c r="AC286" s="655">
        <v>0.3777270394564084</v>
      </c>
      <c r="AD286" s="656">
        <v>0.37511971245273257</v>
      </c>
      <c r="AG286" s="655">
        <v>0.30443558910096724</v>
      </c>
      <c r="AH286" s="656">
        <v>0.31788318803748039</v>
      </c>
      <c r="AK286" s="657">
        <v>0.30578985485055821</v>
      </c>
      <c r="AL286" s="658">
        <v>0.31935490957346635</v>
      </c>
      <c r="AM286" s="646"/>
    </row>
    <row r="287" spans="2:39">
      <c r="B287" s="655">
        <v>0.30842440480154792</v>
      </c>
      <c r="C287" s="656">
        <v>0.32284918476733254</v>
      </c>
      <c r="F287" s="655">
        <v>0.33997572500000001</v>
      </c>
      <c r="G287" s="656">
        <v>0.3484273</v>
      </c>
      <c r="J287" s="655">
        <v>0.37579980010960062</v>
      </c>
      <c r="K287" s="656">
        <v>0.37252905361175914</v>
      </c>
      <c r="N287" s="655">
        <v>0.40158169874419158</v>
      </c>
      <c r="O287" s="656">
        <v>0.38585939872725428</v>
      </c>
      <c r="R287" s="655">
        <v>0.42840951510625674</v>
      </c>
      <c r="S287" s="656">
        <v>0.39705062864697377</v>
      </c>
      <c r="V287" s="655">
        <v>0.45297937999999999</v>
      </c>
      <c r="W287" s="656">
        <v>0.403772872</v>
      </c>
      <c r="Z287" s="655">
        <v>0.34156584949417285</v>
      </c>
      <c r="AA287" s="656">
        <v>0.35092391419508534</v>
      </c>
      <c r="AC287" s="655">
        <v>0.37775008403901034</v>
      </c>
      <c r="AD287" s="656">
        <v>0.3750737398203956</v>
      </c>
      <c r="AG287" s="655">
        <v>0.30451230026329723</v>
      </c>
      <c r="AH287" s="656">
        <v>0.31778684203026736</v>
      </c>
      <c r="AK287" s="657">
        <v>0.30584067466924647</v>
      </c>
      <c r="AL287" s="658">
        <v>0.31928197461222085</v>
      </c>
      <c r="AM287" s="646"/>
    </row>
    <row r="288" spans="2:39">
      <c r="B288" s="655">
        <v>0.30845607723660207</v>
      </c>
      <c r="C288" s="656">
        <v>0.32280705370073964</v>
      </c>
      <c r="F288" s="655">
        <v>0.34001631999999998</v>
      </c>
      <c r="G288" s="656">
        <v>0.34837605599999999</v>
      </c>
      <c r="J288" s="655">
        <v>0.37583988454034351</v>
      </c>
      <c r="K288" s="656">
        <v>0.37246649651469843</v>
      </c>
      <c r="N288" s="655">
        <v>0.40162250531071708</v>
      </c>
      <c r="O288" s="656">
        <v>0.38579430022760097</v>
      </c>
      <c r="R288" s="655">
        <v>0.428451328920541</v>
      </c>
      <c r="S288" s="656">
        <v>0.39698929930009108</v>
      </c>
      <c r="V288" s="655">
        <v>0.45302685100000001</v>
      </c>
      <c r="W288" s="656">
        <v>0.40371587199999998</v>
      </c>
      <c r="Z288" s="655">
        <v>0.34159102634228372</v>
      </c>
      <c r="AA288" s="656">
        <v>0.35088705175528651</v>
      </c>
      <c r="AC288" s="655">
        <v>0.37777436226524641</v>
      </c>
      <c r="AD288" s="656">
        <v>0.37502917639172501</v>
      </c>
      <c r="AG288" s="655">
        <v>0.30459138363440819</v>
      </c>
      <c r="AH288" s="656">
        <v>0.31769366797184645</v>
      </c>
      <c r="AK288" s="657">
        <v>0.30589346206100337</v>
      </c>
      <c r="AL288" s="658">
        <v>0.31921175616789943</v>
      </c>
      <c r="AM288" s="646"/>
    </row>
    <row r="289" spans="2:39">
      <c r="B289" s="655">
        <v>0.30848892056776683</v>
      </c>
      <c r="C289" s="656">
        <v>0.32276656537783216</v>
      </c>
      <c r="F289" s="655">
        <v>0.34005830999999997</v>
      </c>
      <c r="G289" s="656">
        <v>0.34832685899999999</v>
      </c>
      <c r="J289" s="655">
        <v>0.37588178447999226</v>
      </c>
      <c r="K289" s="656">
        <v>0.37240611235190313</v>
      </c>
      <c r="N289" s="655">
        <v>0.40166519360196773</v>
      </c>
      <c r="O289" s="656">
        <v>0.3857313661929328</v>
      </c>
      <c r="R289" s="655">
        <v>0.42849480245281857</v>
      </c>
      <c r="S289" s="656">
        <v>0.39692986179280604</v>
      </c>
      <c r="V289" s="655">
        <v>0.45307574499999997</v>
      </c>
      <c r="W289" s="656">
        <v>0.40366072600000003</v>
      </c>
      <c r="Z289" s="655">
        <v>0.34161715021388805</v>
      </c>
      <c r="AA289" s="656">
        <v>0.35085153354227216</v>
      </c>
      <c r="AC289" s="655">
        <v>0.37779986673973376</v>
      </c>
      <c r="AD289" s="656">
        <v>0.37498603574117273</v>
      </c>
      <c r="AG289" s="655">
        <v>0.30467281512473909</v>
      </c>
      <c r="AH289" s="656">
        <v>0.31760369424393842</v>
      </c>
      <c r="AK289" s="657">
        <v>0.30594820094627806</v>
      </c>
      <c r="AL289" s="658">
        <v>0.31914427562972025</v>
      </c>
      <c r="AM289" s="646"/>
    </row>
    <row r="290" spans="2:39">
      <c r="B290" s="655">
        <v>0.30852292479064547</v>
      </c>
      <c r="C290" s="656">
        <v>0.32272773213174544</v>
      </c>
      <c r="F290" s="655">
        <v>0.34010168400000002</v>
      </c>
      <c r="G290" s="656">
        <v>0.34827972600000001</v>
      </c>
      <c r="J290" s="655">
        <v>0.37592548716541951</v>
      </c>
      <c r="K290" s="656">
        <v>0.37234791951697416</v>
      </c>
      <c r="N290" s="655">
        <v>0.4017097506146764</v>
      </c>
      <c r="O290" s="656">
        <v>0.38567061579356637</v>
      </c>
      <c r="R290" s="655">
        <v>0.42853992246063027</v>
      </c>
      <c r="S290" s="656">
        <v>0.39687233423035911</v>
      </c>
      <c r="V290" s="655">
        <v>0.453126048</v>
      </c>
      <c r="W290" s="656">
        <v>0.40360744900000001</v>
      </c>
      <c r="Z290" s="655">
        <v>0.34164421315140148</v>
      </c>
      <c r="AA290" s="656">
        <v>0.35081737037523414</v>
      </c>
      <c r="AC290" s="655">
        <v>0.37782658969356231</v>
      </c>
      <c r="AD290" s="656">
        <v>0.37494433100979896</v>
      </c>
      <c r="AG290" s="655">
        <v>0.30475656992946926</v>
      </c>
      <c r="AH290" s="656">
        <v>0.31751694825341242</v>
      </c>
      <c r="AK290" s="657">
        <v>0.30600487465107573</v>
      </c>
      <c r="AL290" s="658">
        <v>0.31907955355290907</v>
      </c>
      <c r="AM290" s="646"/>
    </row>
    <row r="291" spans="2:39">
      <c r="B291" s="655">
        <v>0.3085580795472222</v>
      </c>
      <c r="C291" s="656">
        <v>0.32269056579146244</v>
      </c>
      <c r="F291" s="655">
        <v>0.34014642899999997</v>
      </c>
      <c r="G291" s="656">
        <v>0.34823467000000002</v>
      </c>
      <c r="J291" s="655">
        <v>0.37597097928436385</v>
      </c>
      <c r="K291" s="656">
        <v>0.37229193573601282</v>
      </c>
      <c r="N291" s="655">
        <v>0.4017561627763454</v>
      </c>
      <c r="O291" s="656">
        <v>0.38561206753466187</v>
      </c>
      <c r="R291" s="655">
        <v>0.42858667519998472</v>
      </c>
      <c r="S291" s="656">
        <v>0.39681673413620311</v>
      </c>
      <c r="V291" s="655">
        <v>0.45317774300000002</v>
      </c>
      <c r="W291" s="656">
        <v>0.40355605900000002</v>
      </c>
      <c r="Z291" s="655">
        <v>0.34167220691119105</v>
      </c>
      <c r="AA291" s="656">
        <v>0.35078457266060403</v>
      </c>
      <c r="AC291" s="655">
        <v>0.3778545229866615</v>
      </c>
      <c r="AD291" s="656">
        <v>0.37490407490126876</v>
      </c>
      <c r="AG291" s="655">
        <v>0.30484262253607375</v>
      </c>
      <c r="AH291" s="656">
        <v>0.3174334564239375</v>
      </c>
      <c r="AK291" s="657">
        <v>0.30606346591203692</v>
      </c>
      <c r="AL291" s="658">
        <v>0.31901760965243742</v>
      </c>
      <c r="AM291" s="646"/>
    </row>
    <row r="292" spans="2:39">
      <c r="B292" s="655">
        <v>0.30859437412901763</v>
      </c>
      <c r="C292" s="656">
        <v>0.32265507767821044</v>
      </c>
      <c r="F292" s="655">
        <v>0.34019252999999999</v>
      </c>
      <c r="G292" s="656">
        <v>0.34819170500000002</v>
      </c>
      <c r="J292" s="655">
        <v>0.3760182469794851</v>
      </c>
      <c r="K292" s="656">
        <v>0.37223817806222115</v>
      </c>
      <c r="N292" s="655">
        <v>0.40180441594938071</v>
      </c>
      <c r="O292" s="656">
        <v>0.38555573925058606</v>
      </c>
      <c r="R292" s="655">
        <v>0.42863504642954459</v>
      </c>
      <c r="S292" s="656">
        <v>0.39676307844666525</v>
      </c>
      <c r="V292" s="655">
        <v>0.45323081700000001</v>
      </c>
      <c r="W292" s="656">
        <v>0.40350657099999998</v>
      </c>
      <c r="Z292" s="655">
        <v>0.34170112296608635</v>
      </c>
      <c r="AA292" s="656">
        <v>0.35075315038888344</v>
      </c>
      <c r="AC292" s="655">
        <v>0.37788365811027969</v>
      </c>
      <c r="AD292" s="656">
        <v>0.37486527967798278</v>
      </c>
      <c r="AG292" s="655">
        <v>0.30493094673209498</v>
      </c>
      <c r="AH292" s="656">
        <v>0.31735324418793365</v>
      </c>
      <c r="AK292" s="657">
        <v>0.30612395688169602</v>
      </c>
      <c r="AL292" s="658">
        <v>0.31895846279701745</v>
      </c>
      <c r="AM292" s="646"/>
    </row>
    <row r="293" spans="2:39">
      <c r="B293" s="655">
        <v>0.30863179748035058</v>
      </c>
      <c r="C293" s="656">
        <v>0.32262127860201256</v>
      </c>
      <c r="F293" s="655">
        <v>0.34023997299999997</v>
      </c>
      <c r="G293" s="656">
        <v>0.34815084499999999</v>
      </c>
      <c r="J293" s="655">
        <v>0.37606727585258559</v>
      </c>
      <c r="K293" s="656">
        <v>0.37218666287070723</v>
      </c>
      <c r="N293" s="655">
        <v>0.40185449543539836</v>
      </c>
      <c r="O293" s="656">
        <v>0.38550164809948001</v>
      </c>
      <c r="R293" s="655">
        <v>0.42868502141496478</v>
      </c>
      <c r="S293" s="656">
        <v>0.39671138350578838</v>
      </c>
      <c r="V293" s="655">
        <v>0.45328525200000003</v>
      </c>
      <c r="W293" s="656">
        <v>0.40345900000000001</v>
      </c>
      <c r="Z293" s="655">
        <v>0.34173095250797697</v>
      </c>
      <c r="AA293" s="656">
        <v>0.35072311313160065</v>
      </c>
      <c r="AC293" s="655">
        <v>0.37791398618957589</v>
      </c>
      <c r="AD293" s="656">
        <v>0.37482795715734191</v>
      </c>
      <c r="AG293" s="655">
        <v>0.30502151561312724</v>
      </c>
      <c r="AH293" s="656">
        <v>0.31727633597882504</v>
      </c>
      <c r="AK293" s="657">
        <v>0.30618632913391758</v>
      </c>
      <c r="AL293" s="658">
        <v>0.31890213100335424</v>
      </c>
      <c r="AM293" s="646"/>
    </row>
    <row r="294" spans="2:39">
      <c r="B294" s="655">
        <v>0.30867033820170564</v>
      </c>
      <c r="C294" s="656">
        <v>0.32258917885839478</v>
      </c>
      <c r="F294" s="655">
        <v>0.340288745</v>
      </c>
      <c r="G294" s="656">
        <v>0.34811210100000001</v>
      </c>
      <c r="J294" s="655">
        <v>0.37611805096899548</v>
      </c>
      <c r="K294" s="656">
        <v>0.37213740585349753</v>
      </c>
      <c r="N294" s="655">
        <v>0.4019063859797018</v>
      </c>
      <c r="O294" s="656">
        <v>0.38544981055803229</v>
      </c>
      <c r="R294" s="655">
        <v>0.42873658493338063</v>
      </c>
      <c r="S294" s="656">
        <v>0.39666166506035233</v>
      </c>
      <c r="V294" s="655">
        <v>0.45334103100000001</v>
      </c>
      <c r="W294" s="656">
        <v>0.40341336</v>
      </c>
      <c r="Z294" s="655">
        <v>0.34176168645049543</v>
      </c>
      <c r="AA294" s="656">
        <v>0.35069447003839532</v>
      </c>
      <c r="AC294" s="655">
        <v>0.37794549798632343</v>
      </c>
      <c r="AD294" s="656">
        <v>0.37479211870814744</v>
      </c>
      <c r="AG294" s="655">
        <v>0.30511430159101199</v>
      </c>
      <c r="AH294" s="656">
        <v>0.3172027552235972</v>
      </c>
      <c r="AK294" s="657">
        <v>0.30625056366950942</v>
      </c>
      <c r="AL294" s="658">
        <v>0.31884863143065795</v>
      </c>
      <c r="AM294" s="646"/>
    </row>
    <row r="295" spans="2:39">
      <c r="B295" s="655">
        <v>0.30870998455320586</v>
      </c>
      <c r="C295" s="656">
        <v>0.32255878822524997</v>
      </c>
      <c r="F295" s="655">
        <v>0.34033882999999998</v>
      </c>
      <c r="G295" s="656">
        <v>0.34807548599999999</v>
      </c>
      <c r="J295" s="655">
        <v>0.37617055686212247</v>
      </c>
      <c r="K295" s="656">
        <v>0.37209042201475662</v>
      </c>
      <c r="N295" s="655">
        <v>0.40196007177592852</v>
      </c>
      <c r="O295" s="656">
        <v>0.3854002424164602</v>
      </c>
      <c r="R295" s="655">
        <v>0.42878972127804482</v>
      </c>
      <c r="S295" s="656">
        <v>0.39661393825507718</v>
      </c>
      <c r="V295" s="655">
        <v>0.45339813899999998</v>
      </c>
      <c r="W295" s="656">
        <v>0.40336966600000002</v>
      </c>
      <c r="Z295" s="655">
        <v>0.34179331543178521</v>
      </c>
      <c r="AA295" s="656">
        <v>0.35066722983423104</v>
      </c>
      <c r="AC295" s="655">
        <v>0.37797818390172372</v>
      </c>
      <c r="AD295" s="656">
        <v>0.37475777524713816</v>
      </c>
      <c r="AG295" s="655">
        <v>0.30520927640224155</v>
      </c>
      <c r="AH295" s="656">
        <v>0.31713252433566097</v>
      </c>
      <c r="AK295" s="657">
        <v>0.30631664092200972</v>
      </c>
      <c r="AL295" s="658">
        <v>0.31879798037541662</v>
      </c>
      <c r="AM295" s="646"/>
    </row>
    <row r="296" spans="2:39">
      <c r="B296" s="655">
        <v>0.30875072445818841</v>
      </c>
      <c r="C296" s="656">
        <v>0.32253011595985936</v>
      </c>
      <c r="F296" s="655">
        <v>0.34039021200000003</v>
      </c>
      <c r="G296" s="656">
        <v>0.34804101100000001</v>
      </c>
      <c r="J296" s="655">
        <v>0.37622477753816291</v>
      </c>
      <c r="K296" s="656">
        <v>0.37204572566621696</v>
      </c>
      <c r="N296" s="655">
        <v>0.40201553647086491</v>
      </c>
      <c r="O296" s="656">
        <v>0.38535295877369979</v>
      </c>
      <c r="R296" s="655">
        <v>0.42884441426311215</v>
      </c>
      <c r="S296" s="656">
        <v>0.39656821762801014</v>
      </c>
      <c r="V296" s="655">
        <v>0.45345655600000001</v>
      </c>
      <c r="W296" s="656">
        <v>0.40332793099999997</v>
      </c>
      <c r="Z296" s="655">
        <v>0.3418258298173521</v>
      </c>
      <c r="AA296" s="656">
        <v>0.35064140081673795</v>
      </c>
      <c r="AC296" s="655">
        <v>0.37801203397933031</v>
      </c>
      <c r="AD296" s="656">
        <v>0.37472493723566502</v>
      </c>
      <c r="AG296" s="655">
        <v>0.30530641111656837</v>
      </c>
      <c r="AH296" s="656">
        <v>0.31706566470802511</v>
      </c>
      <c r="AK296" s="657">
        <v>0.3063845407636473</v>
      </c>
      <c r="AL296" s="658">
        <v>0.31875019326643234</v>
      </c>
      <c r="AM296" s="646"/>
    </row>
    <row r="297" spans="2:39">
      <c r="B297" s="655">
        <v>0.30879254550688356</v>
      </c>
      <c r="C297" s="656">
        <v>0.32250317079607282</v>
      </c>
      <c r="F297" s="655">
        <v>0.340442878</v>
      </c>
      <c r="G297" s="656">
        <v>0.34800868600000001</v>
      </c>
      <c r="J297" s="655">
        <v>0.37628069648097368</v>
      </c>
      <c r="K297" s="656">
        <v>0.37200333042281925</v>
      </c>
      <c r="N297" s="655">
        <v>0.40207276316942769</v>
      </c>
      <c r="O297" s="656">
        <v>0.38530797403280681</v>
      </c>
      <c r="R297" s="655">
        <v>0.42890064722856952</v>
      </c>
      <c r="S297" s="656">
        <v>0.3965245171060971</v>
      </c>
      <c r="V297" s="655">
        <v>0.45351626699999997</v>
      </c>
      <c r="W297" s="656">
        <v>0.40328816699999998</v>
      </c>
      <c r="Z297" s="655">
        <v>0.34185921970299937</v>
      </c>
      <c r="AA297" s="656">
        <v>0.35061699085368492</v>
      </c>
      <c r="AC297" s="655">
        <v>0.37804703790808164</v>
      </c>
      <c r="AD297" s="656">
        <v>0.37469361467650442</v>
      </c>
      <c r="AG297" s="655">
        <v>0.30540567614581748</v>
      </c>
      <c r="AH297" s="656">
        <v>0.31700219670677993</v>
      </c>
      <c r="AK297" s="657">
        <v>0.30645424251147263</v>
      </c>
      <c r="AL297" s="658">
        <v>0.31870528466012138</v>
      </c>
      <c r="AM297" s="646"/>
    </row>
    <row r="298" spans="2:39">
      <c r="B298" s="655">
        <v>0.30883543496019483</v>
      </c>
      <c r="C298" s="656">
        <v>0.32247796094164821</v>
      </c>
      <c r="F298" s="655">
        <v>0.34049680900000001</v>
      </c>
      <c r="G298" s="656">
        <v>0.34797852099999999</v>
      </c>
      <c r="J298" s="655">
        <v>0.37633829665710294</v>
      </c>
      <c r="K298" s="656">
        <v>0.37196324919856533</v>
      </c>
      <c r="N298" s="655">
        <v>0.40213173443981004</v>
      </c>
      <c r="O298" s="656">
        <v>0.38526530189656899</v>
      </c>
      <c r="R298" s="655">
        <v>0.42895840304531085</v>
      </c>
      <c r="S298" s="656">
        <v>0.39648285000094041</v>
      </c>
      <c r="V298" s="655">
        <v>0.45357725100000001</v>
      </c>
      <c r="W298" s="656">
        <v>0.40325038600000002</v>
      </c>
      <c r="Z298" s="655">
        <v>0.34189347491784433</v>
      </c>
      <c r="AA298" s="656">
        <v>0.35059400738058322</v>
      </c>
      <c r="AC298" s="655">
        <v>0.37808318502544197</v>
      </c>
      <c r="AD298" s="656">
        <v>0.37466381711081131</v>
      </c>
      <c r="AG298" s="655">
        <v>0.3055070412528994</v>
      </c>
      <c r="AH298" s="656">
        <v>0.31694213966489343</v>
      </c>
      <c r="AK298" s="657">
        <v>0.30652572493365804</v>
      </c>
      <c r="AL298" s="658">
        <v>0.31866326823608038</v>
      </c>
      <c r="AM298" s="646"/>
    </row>
    <row r="299" spans="2:39">
      <c r="B299" s="655">
        <v>0.30887937975357921</v>
      </c>
      <c r="C299" s="656">
        <v>0.32245449407575144</v>
      </c>
      <c r="F299" s="655">
        <v>0.34055199000000003</v>
      </c>
      <c r="G299" s="656">
        <v>0.34795052599999998</v>
      </c>
      <c r="J299" s="655">
        <v>0.37639756052097922</v>
      </c>
      <c r="K299" s="656">
        <v>0.37192549420258442</v>
      </c>
      <c r="N299" s="655">
        <v>0.40219243231879176</v>
      </c>
      <c r="O299" s="656">
        <v>0.38522495536333251</v>
      </c>
      <c r="R299" s="655">
        <v>0.42901766412035491</v>
      </c>
      <c r="S299" s="656">
        <v>0.39644322900474394</v>
      </c>
      <c r="V299" s="655">
        <v>0.45363949199999998</v>
      </c>
      <c r="W299" s="656">
        <v>0.40321460100000001</v>
      </c>
      <c r="Z299" s="655">
        <v>0.3419285850274168</v>
      </c>
      <c r="AA299" s="656">
        <v>0.3505724573984213</v>
      </c>
      <c r="AC299" s="655">
        <v>0.37812046432064911</v>
      </c>
      <c r="AD299" s="656">
        <v>0.37463555361521284</v>
      </c>
      <c r="AG299" s="655">
        <v>0.30561047556102056</v>
      </c>
      <c r="AH299" s="656">
        <v>0.31688551187632236</v>
      </c>
      <c r="AK299" s="657">
        <v>0.30659896625596539</v>
      </c>
      <c r="AL299" s="658">
        <v>0.31862415679291906</v>
      </c>
      <c r="AM299" s="646"/>
    </row>
    <row r="300" spans="2:39">
      <c r="B300" s="655">
        <v>0.30892436650102695</v>
      </c>
      <c r="C300" s="656">
        <v>0.32243277734661713</v>
      </c>
      <c r="F300" s="655">
        <v>0.340608405</v>
      </c>
      <c r="G300" s="656">
        <v>0.34792470800000003</v>
      </c>
      <c r="J300" s="655">
        <v>0.3764584700202554</v>
      </c>
      <c r="K300" s="656">
        <v>0.37189007693541398</v>
      </c>
      <c r="N300" s="655">
        <v>0.40225483831721087</v>
      </c>
      <c r="O300" s="656">
        <v>0.38518694672304216</v>
      </c>
      <c r="R300" s="655">
        <v>0.42907841240220412</v>
      </c>
      <c r="S300" s="656">
        <v>0.39640566618644696</v>
      </c>
      <c r="V300" s="655">
        <v>0.45370296900000001</v>
      </c>
      <c r="W300" s="656">
        <v>0.40318082100000002</v>
      </c>
      <c r="Z300" s="655">
        <v>0.34196453933683718</v>
      </c>
      <c r="AA300" s="656">
        <v>0.35055234747153258</v>
      </c>
      <c r="AC300" s="655">
        <v>0.37815886443806862</v>
      </c>
      <c r="AD300" s="656">
        <v>0.37460883279904356</v>
      </c>
      <c r="AG300" s="655">
        <v>0.30571594756308873</v>
      </c>
      <c r="AH300" s="656">
        <v>0.31683233059043964</v>
      </c>
      <c r="AK300" s="657">
        <v>0.30667394416837823</v>
      </c>
      <c r="AL300" s="658">
        <v>0.31858796224436187</v>
      </c>
      <c r="AM300" s="646"/>
    </row>
    <row r="301" spans="2:39">
      <c r="B301" s="655">
        <v>0.30897038149913897</v>
      </c>
      <c r="C301" s="656">
        <v>0.32241281736937139</v>
      </c>
      <c r="F301" s="655">
        <v>0.34066603499999998</v>
      </c>
      <c r="G301" s="656">
        <v>0.34790107599999998</v>
      </c>
      <c r="J301" s="655">
        <v>0.37652100660130799</v>
      </c>
      <c r="K301" s="656">
        <v>0.37185700818549672</v>
      </c>
      <c r="N301" s="655">
        <v>0.40231893342559577</v>
      </c>
      <c r="O301" s="656">
        <v>0.38515128755349798</v>
      </c>
      <c r="R301" s="655">
        <v>0.42914062938634345</v>
      </c>
      <c r="S301" s="656">
        <v>0.39637017298804772</v>
      </c>
      <c r="V301" s="655">
        <v>0.45376766400000002</v>
      </c>
      <c r="W301" s="656">
        <v>0.403149058</v>
      </c>
      <c r="Z301" s="655">
        <v>0.34200132689407453</v>
      </c>
      <c r="AA301" s="656">
        <v>0.35053368372559562</v>
      </c>
      <c r="AC301" s="655">
        <v>0.37819837368065279</v>
      </c>
      <c r="AD301" s="656">
        <v>0.37458366280172289</v>
      </c>
      <c r="AG301" s="655">
        <v>0.30582342513131033</v>
      </c>
      <c r="AH301" s="656">
        <v>0.31678261200678015</v>
      </c>
      <c r="AK301" s="657">
        <v>0.30675063583189827</v>
      </c>
      <c r="AL301" s="658">
        <v>0.318554695615619</v>
      </c>
      <c r="AM301" s="646"/>
    </row>
    <row r="302" spans="2:39">
      <c r="B302" s="655">
        <v>0.30901741073130112</v>
      </c>
      <c r="C302" s="656">
        <v>0.3223946202240166</v>
      </c>
      <c r="F302" s="655">
        <v>0.34072486400000002</v>
      </c>
      <c r="G302" s="656">
        <v>0.34787963599999999</v>
      </c>
      <c r="J302" s="655">
        <v>0.37658515121488856</v>
      </c>
      <c r="K302" s="656">
        <v>0.37182629802589418</v>
      </c>
      <c r="N302" s="655">
        <v>0.40238469811995548</v>
      </c>
      <c r="O302" s="656">
        <v>0.38511798871682851</v>
      </c>
      <c r="R302" s="655">
        <v>0.42920429612087674</v>
      </c>
      <c r="S302" s="656">
        <v>0.39633676022111836</v>
      </c>
      <c r="V302" s="655">
        <v>0.453833557</v>
      </c>
      <c r="W302" s="656">
        <v>0.40311932099999997</v>
      </c>
      <c r="Z302" s="655">
        <v>0.3420389364932826</v>
      </c>
      <c r="AA302" s="656">
        <v>0.35051647184576812</v>
      </c>
      <c r="AC302" s="655">
        <v>0.37823898001350359</v>
      </c>
      <c r="AD302" s="656">
        <v>0.37456005129027597</v>
      </c>
      <c r="AG302" s="655">
        <v>0.3059328755269769</v>
      </c>
      <c r="AH302" s="656">
        <v>0.31673637127010618</v>
      </c>
      <c r="AK302" s="657">
        <v>0.30682901788550182</v>
      </c>
      <c r="AL302" s="658">
        <v>0.31852436704002773</v>
      </c>
      <c r="AM302" s="646"/>
    </row>
    <row r="303" spans="2:39">
      <c r="B303" s="655">
        <v>0.30906543987195362</v>
      </c>
      <c r="C303" s="656">
        <v>0.3223781914535796</v>
      </c>
      <c r="F303" s="655">
        <v>0.34078487299999999</v>
      </c>
      <c r="G303" s="656">
        <v>0.34786039600000002</v>
      </c>
      <c r="J303" s="655">
        <v>0.37665088432192645</v>
      </c>
      <c r="K303" s="656">
        <v>0.37179795581121855</v>
      </c>
      <c r="N303" s="655">
        <v>0.4024521123677271</v>
      </c>
      <c r="O303" s="656">
        <v>0.3850870603561819</v>
      </c>
      <c r="R303" s="655">
        <v>0.4292693932122999</v>
      </c>
      <c r="S303" s="656">
        <v>0.39630543806351137</v>
      </c>
      <c r="V303" s="655">
        <v>0.45390062799999997</v>
      </c>
      <c r="W303" s="656">
        <v>0.40309161900000001</v>
      </c>
      <c r="Z303" s="655">
        <v>0.34207735667821315</v>
      </c>
      <c r="AA303" s="656">
        <v>0.3505007170749555</v>
      </c>
      <c r="AC303" s="655">
        <v>0.37828067106753865</v>
      </c>
      <c r="AD303" s="656">
        <v>0.37453800545699778</v>
      </c>
      <c r="AG303" s="655">
        <v>0.30604426541043767</v>
      </c>
      <c r="AH303" s="656">
        <v>0.31669362246579391</v>
      </c>
      <c r="AK303" s="657">
        <v>0.306909066453256</v>
      </c>
      <c r="AL303" s="658">
        <v>0.31849698575596602</v>
      </c>
      <c r="AM303" s="646"/>
    </row>
    <row r="304" spans="2:39">
      <c r="B304" s="655">
        <v>0.30911445429095502</v>
      </c>
      <c r="C304" s="656">
        <v>0.32236353606242296</v>
      </c>
      <c r="F304" s="655">
        <v>0.34084604400000001</v>
      </c>
      <c r="G304" s="656">
        <v>0.34784336199999999</v>
      </c>
      <c r="J304" s="655">
        <v>0.37671818589948047</v>
      </c>
      <c r="K304" s="656">
        <v>0.37177199017478285</v>
      </c>
      <c r="N304" s="655">
        <v>0.40252115563387764</v>
      </c>
      <c r="O304" s="656">
        <v>0.3850585118926364</v>
      </c>
      <c r="R304" s="655">
        <v>0.42933590083140827</v>
      </c>
      <c r="S304" s="656">
        <v>0.39627621605625934</v>
      </c>
      <c r="V304" s="655">
        <v>0.453968855</v>
      </c>
      <c r="W304" s="656">
        <v>0.40306596</v>
      </c>
      <c r="Z304" s="655">
        <v>0.34211657574570559</v>
      </c>
      <c r="AA304" s="656">
        <v>0.35048642421221354</v>
      </c>
      <c r="AC304" s="655">
        <v>0.37832343414325903</v>
      </c>
      <c r="AD304" s="656">
        <v>0.37451753201726279</v>
      </c>
      <c r="AG304" s="655">
        <v>0.30615756085125512</v>
      </c>
      <c r="AH304" s="656">
        <v>0.31665437861554341</v>
      </c>
      <c r="AK304" s="657">
        <v>0.30699075715159169</v>
      </c>
      <c r="AL304" s="658">
        <v>0.31847256010403829</v>
      </c>
      <c r="AM304" s="646"/>
    </row>
    <row r="305" spans="2:39">
      <c r="B305" s="655">
        <v>0.30916443905803848</v>
      </c>
      <c r="C305" s="656">
        <v>0.32235065851472078</v>
      </c>
      <c r="F305" s="655">
        <v>0.34090835800000002</v>
      </c>
      <c r="G305" s="656">
        <v>0.34782853800000002</v>
      </c>
      <c r="J305" s="655">
        <v>0.37678703544683817</v>
      </c>
      <c r="K305" s="656">
        <v>0.37174840902597162</v>
      </c>
      <c r="N305" s="655">
        <v>0.4025918068871594</v>
      </c>
      <c r="O305" s="656">
        <v>0.38503235202233066</v>
      </c>
      <c r="R305" s="655">
        <v>0.42940379871933687</v>
      </c>
      <c r="S305" s="656">
        <v>0.39624910310066874</v>
      </c>
      <c r="V305" s="655">
        <v>0.45403821999999999</v>
      </c>
      <c r="W305" s="656">
        <v>0.40304235300000002</v>
      </c>
      <c r="Z305" s="655">
        <v>0.34215658174925212</v>
      </c>
      <c r="AA305" s="656">
        <v>0.35047359761128671</v>
      </c>
      <c r="AC305" s="655">
        <v>0.37836725621461764</v>
      </c>
      <c r="AD305" s="656">
        <v>0.374498637207479</v>
      </c>
      <c r="AG305" s="655">
        <v>0.30627272733854038</v>
      </c>
      <c r="AH305" s="656">
        <v>0.31661865167341152</v>
      </c>
      <c r="AK305" s="657">
        <v>0.3070740650967308</v>
      </c>
      <c r="AL305" s="658">
        <v>0.31845109752453465</v>
      </c>
      <c r="AM305" s="646"/>
    </row>
    <row r="306" spans="2:39">
      <c r="B306" s="655">
        <v>0.30921537894735973</v>
      </c>
      <c r="C306" s="656">
        <v>0.32233956273309888</v>
      </c>
      <c r="F306" s="655">
        <v>0.34097179799999999</v>
      </c>
      <c r="G306" s="656">
        <v>0.347815928</v>
      </c>
      <c r="J306" s="655">
        <v>0.37685741199176043</v>
      </c>
      <c r="K306" s="656">
        <v>0.37172721954783111</v>
      </c>
      <c r="N306" s="655">
        <v>0.40266404460651628</v>
      </c>
      <c r="O306" s="656">
        <v>0.38500858871381455</v>
      </c>
      <c r="R306" s="655">
        <v>0.42947306619373121</v>
      </c>
      <c r="S306" s="656">
        <v>0.39622410745560854</v>
      </c>
      <c r="V306" s="655">
        <v>0.45410869999999998</v>
      </c>
      <c r="W306" s="656">
        <v>0.40302080400000001</v>
      </c>
      <c r="Z306" s="655">
        <v>0.34219736250263644</v>
      </c>
      <c r="AA306" s="656">
        <v>0.35046224117928193</v>
      </c>
      <c r="AC306" s="655">
        <v>0.37841212393298695</v>
      </c>
      <c r="AD306" s="656">
        <v>0.37448132678318857</v>
      </c>
      <c r="AG306" s="655">
        <v>0.30638972979146584</v>
      </c>
      <c r="AH306" s="656">
        <v>0.31658645252217099</v>
      </c>
      <c r="AK306" s="657">
        <v>0.30715896491226619</v>
      </c>
      <c r="AL306" s="658">
        <v>0.31843260455516481</v>
      </c>
      <c r="AM306" s="646"/>
    </row>
    <row r="307" spans="2:39">
      <c r="B307" s="655">
        <v>0.30926725844213498</v>
      </c>
      <c r="C307" s="656">
        <v>0.32233025209743982</v>
      </c>
      <c r="F307" s="655">
        <v>0.34103634199999999</v>
      </c>
      <c r="G307" s="656">
        <v>0.34780553800000003</v>
      </c>
      <c r="J307" s="655">
        <v>0.37692929409686993</v>
      </c>
      <c r="K307" s="656">
        <v>0.37170842819488165</v>
      </c>
      <c r="N307" s="655">
        <v>0.40273784678763908</v>
      </c>
      <c r="O307" s="656">
        <v>0.38498722920562201</v>
      </c>
      <c r="R307" s="655">
        <v>0.42954368215504762</v>
      </c>
      <c r="S307" s="656">
        <v>0.39620123673499441</v>
      </c>
      <c r="V307" s="655">
        <v>0.45418027300000002</v>
      </c>
      <c r="W307" s="656">
        <v>0.40300132</v>
      </c>
      <c r="Z307" s="655">
        <v>0.34223890558364606</v>
      </c>
      <c r="AA307" s="656">
        <v>0.35045235837547828</v>
      </c>
      <c r="AC307" s="655">
        <v>0.37845802363122544</v>
      </c>
      <c r="AD307" s="656">
        <v>0.37446560601731438</v>
      </c>
      <c r="AG307" s="655">
        <v>0.30650853256995086</v>
      </c>
      <c r="AH307" s="656">
        <v>0.31655779096999515</v>
      </c>
      <c r="AK307" s="657">
        <v>0.30724543073689164</v>
      </c>
      <c r="AL307" s="658">
        <v>0.31841708682906633</v>
      </c>
      <c r="AM307" s="646"/>
    </row>
    <row r="308" spans="2:39">
      <c r="B308" s="655">
        <v>0.3093200617393676</v>
      </c>
      <c r="C308" s="656">
        <v>0.32232272944385337</v>
      </c>
      <c r="F308" s="655">
        <v>0.34110197199999998</v>
      </c>
      <c r="G308" s="656">
        <v>0.34779736900000002</v>
      </c>
      <c r="J308" s="655">
        <v>0.37700265986618109</v>
      </c>
      <c r="K308" s="656">
        <v>0.37169204069115147</v>
      </c>
      <c r="N308" s="655">
        <v>0.40281319094966855</v>
      </c>
      <c r="O308" s="656">
        <v>0.38496828000406613</v>
      </c>
      <c r="R308" s="655">
        <v>0.42961562509298018</v>
      </c>
      <c r="S308" s="656">
        <v>0.39618049790546928</v>
      </c>
      <c r="V308" s="655">
        <v>0.45425291899999998</v>
      </c>
      <c r="W308" s="656">
        <v>0.40298390699999997</v>
      </c>
      <c r="Z308" s="655">
        <v>0.34228119833785603</v>
      </c>
      <c r="AA308" s="656">
        <v>0.35044395221027369</v>
      </c>
      <c r="AC308" s="655">
        <v>0.37850494132784029</v>
      </c>
      <c r="AD308" s="656">
        <v>0.37445147969855408</v>
      </c>
      <c r="AG308" s="655">
        <v>0.30662909948551831</v>
      </c>
      <c r="AH308" s="656">
        <v>0.31653267574747046</v>
      </c>
      <c r="AK308" s="657">
        <v>0.30733343623227938</v>
      </c>
      <c r="AL308" s="658">
        <v>0.31840454907308896</v>
      </c>
      <c r="AM308" s="646"/>
    </row>
    <row r="309" spans="2:39">
      <c r="B309" s="655">
        <v>0.30937377275466177</v>
      </c>
      <c r="C309" s="656">
        <v>0.32231699706381273</v>
      </c>
      <c r="F309" s="655">
        <v>0.34116866699999998</v>
      </c>
      <c r="G309" s="656">
        <v>0.34779142499999999</v>
      </c>
      <c r="J309" s="655">
        <v>0.3770774869517699</v>
      </c>
      <c r="K309" s="656">
        <v>0.37167806202843284</v>
      </c>
      <c r="N309" s="655">
        <v>0.4028900541420431</v>
      </c>
      <c r="O309" s="656">
        <v>0.38495174688125738</v>
      </c>
      <c r="R309" s="655">
        <v>0.42968887309301307</v>
      </c>
      <c r="S309" s="656">
        <v>0.39616189728428158</v>
      </c>
      <c r="V309" s="655">
        <v>0.45432661499999999</v>
      </c>
      <c r="W309" s="656">
        <v>0.40296857000000003</v>
      </c>
      <c r="Z309" s="655">
        <v>0.34232422788248379</v>
      </c>
      <c r="AA309" s="656">
        <v>0.3504370252442674</v>
      </c>
      <c r="AC309" s="655">
        <v>0.37855286273124661</v>
      </c>
      <c r="AD309" s="656">
        <v>0.37443895212992112</v>
      </c>
      <c r="AG309" s="655">
        <v>0.30675139381231775</v>
      </c>
      <c r="AH309" s="656">
        <v>0.31651111450493696</v>
      </c>
      <c r="AK309" s="657">
        <v>0.30742295459110291</v>
      </c>
      <c r="AL309" s="658">
        <v>0.31839499510635455</v>
      </c>
      <c r="AM309" s="646"/>
    </row>
    <row r="310" spans="2:39">
      <c r="B310" s="655">
        <v>0.30942837512712179</v>
      </c>
      <c r="C310" s="656">
        <v>0.32231305670345639</v>
      </c>
      <c r="F310" s="655">
        <v>0.34123640799999999</v>
      </c>
      <c r="G310" s="656">
        <v>0.34778770799999997</v>
      </c>
      <c r="J310" s="655">
        <v>0.37715375256058126</v>
      </c>
      <c r="K310" s="656">
        <v>0.37166649646476185</v>
      </c>
      <c r="N310" s="655">
        <v>0.40296841295148966</v>
      </c>
      <c r="O310" s="656">
        <v>0.38493763487334498</v>
      </c>
      <c r="R310" s="655">
        <v>0.42976340384309597</v>
      </c>
      <c r="S310" s="656">
        <v>0.39614544053736078</v>
      </c>
      <c r="V310" s="655">
        <v>0.45440133900000002</v>
      </c>
      <c r="W310" s="656">
        <v>0.40295531400000001</v>
      </c>
      <c r="Z310" s="655">
        <v>0.34236798111031314</v>
      </c>
      <c r="AA310" s="656">
        <v>0.35043157958748045</v>
      </c>
      <c r="AC310" s="655">
        <v>0.37860177324412075</v>
      </c>
      <c r="AD310" s="656">
        <v>0.37442802712743428</v>
      </c>
      <c r="AG310" s="655">
        <v>0.30687537829831246</v>
      </c>
      <c r="AH310" s="656">
        <v>0.3164931138101581</v>
      </c>
      <c r="AK310" s="657">
        <v>0.30751395854520297</v>
      </c>
      <c r="AL310" s="658">
        <v>0.31838842783909399</v>
      </c>
      <c r="AM310" s="646"/>
    </row>
    <row r="311" spans="2:39">
      <c r="B311" s="655">
        <v>0.30948385222433616</v>
      </c>
      <c r="C311" s="656">
        <v>0.32231090956305625</v>
      </c>
      <c r="F311" s="655">
        <v>0.34130517300000002</v>
      </c>
      <c r="G311" s="656">
        <v>0.34778621700000001</v>
      </c>
      <c r="J311" s="655">
        <v>0.37723143346137183</v>
      </c>
      <c r="K311" s="656">
        <v>0.37165734752312135</v>
      </c>
      <c r="N311" s="655">
        <v>0.40304824350915586</v>
      </c>
      <c r="O311" s="656">
        <v>0.38492594827898335</v>
      </c>
      <c r="R311" s="655">
        <v>0.4298391946404404</v>
      </c>
      <c r="S311" s="656">
        <v>0.39613113267759131</v>
      </c>
      <c r="V311" s="655">
        <v>0.45447706700000001</v>
      </c>
      <c r="W311" s="656">
        <v>0.40294414299999998</v>
      </c>
      <c r="Z311" s="655">
        <v>0.34241244469368709</v>
      </c>
      <c r="AA311" s="656">
        <v>0.35042761689871255</v>
      </c>
      <c r="AC311" s="655">
        <v>0.37865165796784661</v>
      </c>
      <c r="AD311" s="656">
        <v>0.37441870801895522</v>
      </c>
      <c r="AG311" s="655">
        <v>0.30700101517662703</v>
      </c>
      <c r="AH311" s="656">
        <v>0.31647867914631977</v>
      </c>
      <c r="AK311" s="657">
        <v>0.30760642037389363</v>
      </c>
      <c r="AL311" s="658">
        <v>0.31838484927176047</v>
      </c>
      <c r="AM311" s="646"/>
    </row>
    <row r="312" spans="2:39">
      <c r="B312" s="655">
        <v>0.30954018714744369</v>
      </c>
      <c r="C312" s="656">
        <v>0.32231055629665212</v>
      </c>
      <c r="F312" s="655">
        <v>0.34137494200000001</v>
      </c>
      <c r="G312" s="656">
        <v>0.34778695500000001</v>
      </c>
      <c r="J312" s="655">
        <v>0.37731050599178678</v>
      </c>
      <c r="K312" s="656">
        <v>0.37165061799036742</v>
      </c>
      <c r="N312" s="655">
        <v>0.40312952149788045</v>
      </c>
      <c r="O312" s="656">
        <v>0.38491669065802236</v>
      </c>
      <c r="R312" s="655">
        <v>0.42991622239843519</v>
      </c>
      <c r="S312" s="656">
        <v>0.39611897806328589</v>
      </c>
      <c r="V312" s="655">
        <v>0.45455377699999999</v>
      </c>
      <c r="W312" s="656">
        <v>0.40293506099999998</v>
      </c>
      <c r="Z312" s="655">
        <v>0.34245760508856737</v>
      </c>
      <c r="AA312" s="656">
        <v>0.35042513838503714</v>
      </c>
      <c r="AC312" s="655">
        <v>0.37870250170705416</v>
      </c>
      <c r="AD312" s="656">
        <v>0.37441099764317459</v>
      </c>
      <c r="AG312" s="655">
        <v>0.30712826617705119</v>
      </c>
      <c r="AH312" s="656">
        <v>0.31646781491036047</v>
      </c>
      <c r="AK312" s="657">
        <v>0.3077003119124061</v>
      </c>
      <c r="AL312" s="658">
        <v>0.31838426049442026</v>
      </c>
      <c r="AM312" s="646"/>
    </row>
    <row r="313" spans="2:39">
      <c r="B313" s="655">
        <v>0.30959736273628097</v>
      </c>
      <c r="C313" s="656">
        <v>0.32231199701185237</v>
      </c>
      <c r="F313" s="655">
        <v>0.34144569299999999</v>
      </c>
      <c r="G313" s="656">
        <v>0.34778991999999997</v>
      </c>
      <c r="J313" s="655">
        <v>0.37739094606556733</v>
      </c>
      <c r="K313" s="656">
        <v>0.37164630991638109</v>
      </c>
      <c r="N313" s="655">
        <v>0.40321222215960073</v>
      </c>
      <c r="O313" s="656">
        <v>0.38490986483042294</v>
      </c>
      <c r="R313" s="655">
        <v>0.42999446365367916</v>
      </c>
      <c r="S313" s="656">
        <v>0.39610898039685782</v>
      </c>
      <c r="V313" s="655">
        <v>0.45463144599999999</v>
      </c>
      <c r="W313" s="656">
        <v>0.402928069</v>
      </c>
      <c r="Z313" s="655">
        <v>0.34250344853866027</v>
      </c>
      <c r="AA313" s="656">
        <v>0.35042414480143352</v>
      </c>
      <c r="AC313" s="655">
        <v>0.3787542889742479</v>
      </c>
      <c r="AD313" s="656">
        <v>0.37440489834874752</v>
      </c>
      <c r="AG313" s="655">
        <v>0.30725709253769756</v>
      </c>
      <c r="AH313" s="656">
        <v>0.31646052441163169</v>
      </c>
      <c r="AK313" s="657">
        <v>0.30779560456046823</v>
      </c>
      <c r="AL313" s="658">
        <v>0.31838666168642066</v>
      </c>
      <c r="AM313" s="646"/>
    </row>
    <row r="314" spans="2:39">
      <c r="B314" s="655">
        <v>0.30965536157460982</v>
      </c>
      <c r="C314" s="656">
        <v>0.32231523126980116</v>
      </c>
      <c r="F314" s="655">
        <v>0.341517405</v>
      </c>
      <c r="G314" s="656">
        <v>0.34779511200000002</v>
      </c>
      <c r="J314" s="655">
        <v>0.37747272917988778</v>
      </c>
      <c r="K314" s="656">
        <v>0.37164442461344332</v>
      </c>
      <c r="N314" s="655">
        <v>0.40329632030289397</v>
      </c>
      <c r="O314" s="656">
        <v>0.38490547287539839</v>
      </c>
      <c r="R314" s="655">
        <v>0.430073894573128</v>
      </c>
      <c r="S314" s="656">
        <v>0.39610114272369312</v>
      </c>
      <c r="V314" s="655">
        <v>0.45471004900000001</v>
      </c>
      <c r="W314" s="656">
        <v>0.40292317100000002</v>
      </c>
      <c r="Z314" s="655">
        <v>0.34254996107960672</v>
      </c>
      <c r="AA314" s="656">
        <v>0.35042463645055683</v>
      </c>
      <c r="AC314" s="655">
        <v>0.37880700399452449</v>
      </c>
      <c r="AD314" s="656">
        <v>0.37440041199357826</v>
      </c>
      <c r="AG314" s="655">
        <v>0.30738745501680864</v>
      </c>
      <c r="AH314" s="656">
        <v>0.31645680987088998</v>
      </c>
      <c r="AK314" s="657">
        <v>0.30789226929101632</v>
      </c>
      <c r="AL314" s="658">
        <v>0.31839205211633531</v>
      </c>
      <c r="AM314" s="646"/>
    </row>
    <row r="315" spans="2:39">
      <c r="B315" s="655">
        <v>0.30971416599542223</v>
      </c>
      <c r="C315" s="656">
        <v>0.32232025808531223</v>
      </c>
      <c r="F315" s="655">
        <v>0.34159005599999998</v>
      </c>
      <c r="G315" s="656">
        <v>0.34780252900000003</v>
      </c>
      <c r="J315" s="655">
        <v>0.37755583042281921</v>
      </c>
      <c r="K315" s="656">
        <v>0.37164496265583569</v>
      </c>
      <c r="N315" s="655">
        <v>0.40338179031065113</v>
      </c>
      <c r="O315" s="656">
        <v>0.38490351613078067</v>
      </c>
      <c r="R315" s="655">
        <v>0.43015449096135422</v>
      </c>
      <c r="S315" s="656">
        <v>0.39609546743122293</v>
      </c>
      <c r="V315" s="655">
        <v>0.45478956300000001</v>
      </c>
      <c r="W315" s="656">
        <v>0.40292036799999997</v>
      </c>
      <c r="Z315" s="655">
        <v>0.34259712854323626</v>
      </c>
      <c r="AA315" s="656">
        <v>0.35042661318264601</v>
      </c>
      <c r="AC315" s="655">
        <v>0.37886063071037818</v>
      </c>
      <c r="AD315" s="656">
        <v>0.37439753994425407</v>
      </c>
      <c r="AG315" s="655">
        <v>0.30751931390471055</v>
      </c>
      <c r="AH315" s="656">
        <v>0.31645667241962044</v>
      </c>
      <c r="AK315" s="657">
        <v>0.307990276659037</v>
      </c>
      <c r="AL315" s="658">
        <v>0.31840043014218705</v>
      </c>
      <c r="AM315" s="646"/>
    </row>
    <row r="316" spans="2:39">
      <c r="B316" s="655">
        <v>0.30977375808632196</v>
      </c>
      <c r="C316" s="656">
        <v>0.3223270759271688</v>
      </c>
      <c r="F316" s="655">
        <v>0.341663624</v>
      </c>
      <c r="G316" s="656">
        <v>0.34781216799999998</v>
      </c>
      <c r="J316" s="655">
        <v>0.37764022448091811</v>
      </c>
      <c r="K316" s="656">
        <v>0.37164792387966528</v>
      </c>
      <c r="N316" s="655">
        <v>0.40346860614787977</v>
      </c>
      <c r="O316" s="656">
        <v>0.3849039951926132</v>
      </c>
      <c r="R316" s="655">
        <v>0.43023622826791713</v>
      </c>
      <c r="S316" s="656">
        <v>0.39609195624819638</v>
      </c>
      <c r="V316" s="655">
        <v>0.45486996299999999</v>
      </c>
      <c r="W316" s="656">
        <v>0.40291966000000001</v>
      </c>
      <c r="Z316" s="655">
        <v>0.3426449365618825</v>
      </c>
      <c r="AA316" s="656">
        <v>0.35043007439556928</v>
      </c>
      <c r="AC316" s="655">
        <v>0.37891515278659182</v>
      </c>
      <c r="AD316" s="656">
        <v>0.37439628307562889</v>
      </c>
      <c r="AG316" s="655">
        <v>0.30765262903590856</v>
      </c>
      <c r="AH316" s="656">
        <v>0.3164601120996921</v>
      </c>
      <c r="AK316" s="657">
        <v>0.3080895968105366</v>
      </c>
      <c r="AL316" s="658">
        <v>0.31841179321194807</v>
      </c>
      <c r="AM316" s="646"/>
    </row>
    <row r="317" spans="2:39">
      <c r="B317" s="655">
        <v>0.30983411969498087</v>
      </c>
      <c r="C317" s="656">
        <v>0.32233568271859031</v>
      </c>
      <c r="F317" s="655">
        <v>0.341738086</v>
      </c>
      <c r="G317" s="656">
        <v>0.34782402800000001</v>
      </c>
      <c r="J317" s="655">
        <v>0.37772588564693671</v>
      </c>
      <c r="K317" s="656">
        <v>0.37165330738291463</v>
      </c>
      <c r="N317" s="655">
        <v>0.40355674136963493</v>
      </c>
      <c r="O317" s="656">
        <v>0.38490690991496912</v>
      </c>
      <c r="R317" s="655">
        <v>0.43031908159484139</v>
      </c>
      <c r="S317" s="656">
        <v>0.39609061024415376</v>
      </c>
      <c r="V317" s="655">
        <v>0.45495122500000001</v>
      </c>
      <c r="W317" s="656">
        <v>0.402921048</v>
      </c>
      <c r="Z317" s="655">
        <v>0.34269337057275978</v>
      </c>
      <c r="AA317" s="656">
        <v>0.35043501903500773</v>
      </c>
      <c r="AC317" s="655">
        <v>0.37897055361521281</v>
      </c>
      <c r="AD317" s="656">
        <v>0.37439664177055709</v>
      </c>
      <c r="AG317" s="655">
        <v>0.30778735980132238</v>
      </c>
      <c r="AH317" s="656">
        <v>0.31646712786334497</v>
      </c>
      <c r="AK317" s="657">
        <v>0.30819019949163479</v>
      </c>
      <c r="AL317" s="658">
        <v>0.31842613786431717</v>
      </c>
      <c r="AM317" s="646"/>
    </row>
    <row r="318" spans="2:39">
      <c r="B318" s="655">
        <v>0.30989523243466821</v>
      </c>
      <c r="C318" s="656">
        <v>0.32234607583786462</v>
      </c>
      <c r="F318" s="655">
        <v>0.34181341999999998</v>
      </c>
      <c r="G318" s="656">
        <v>0.34783810399999998</v>
      </c>
      <c r="J318" s="655">
        <v>0.3778127878276541</v>
      </c>
      <c r="K318" s="656">
        <v>0.37166111152571646</v>
      </c>
      <c r="N318" s="655">
        <v>0.40364616912907431</v>
      </c>
      <c r="O318" s="656">
        <v>0.38491225940999574</v>
      </c>
      <c r="R318" s="655">
        <v>0.43040302570420097</v>
      </c>
      <c r="S318" s="656">
        <v>0.396091429829101</v>
      </c>
      <c r="V318" s="655">
        <v>0.45503332499999999</v>
      </c>
      <c r="W318" s="656">
        <v>0.40292453099999997</v>
      </c>
      <c r="Z318" s="655">
        <v>0.34274241582239928</v>
      </c>
      <c r="AA318" s="656">
        <v>0.35044144559477625</v>
      </c>
      <c r="AC318" s="655">
        <v>0.37902681632061203</v>
      </c>
      <c r="AD318" s="656">
        <v>0.37439861591977686</v>
      </c>
      <c r="AG318" s="655">
        <v>0.30792346516065566</v>
      </c>
      <c r="AH318" s="656">
        <v>0.31647771757350962</v>
      </c>
      <c r="AK318" s="657">
        <v>0.30829205405778032</v>
      </c>
      <c r="AL318" s="658">
        <v>0.31844345972977434</v>
      </c>
      <c r="AM318" s="646"/>
    </row>
    <row r="319" spans="2:39">
      <c r="B319" s="655">
        <v>0.30995707768985142</v>
      </c>
      <c r="C319" s="656">
        <v>0.32235825211914693</v>
      </c>
      <c r="F319" s="655">
        <v>0.34188960299999999</v>
      </c>
      <c r="G319" s="656">
        <v>0.34785439200000001</v>
      </c>
      <c r="J319" s="655">
        <v>0.37790090455182418</v>
      </c>
      <c r="K319" s="656">
        <v>0.37167133393085328</v>
      </c>
      <c r="N319" s="655">
        <v>0.40373686218563598</v>
      </c>
      <c r="O319" s="656">
        <v>0.38492004204818508</v>
      </c>
      <c r="R319" s="655">
        <v>0.43048803502580707</v>
      </c>
      <c r="S319" s="656">
        <v>0.39609441475338453</v>
      </c>
      <c r="V319" s="655">
        <v>0.45511623699999998</v>
      </c>
      <c r="W319" s="656">
        <v>0.40293010899999998</v>
      </c>
      <c r="Z319" s="655">
        <v>0.34279205737114282</v>
      </c>
      <c r="AA319" s="656">
        <v>0.35044935211728251</v>
      </c>
      <c r="AC319" s="655">
        <v>0.37908392376462446</v>
      </c>
      <c r="AD319" s="656">
        <v>0.37440220492194304</v>
      </c>
      <c r="AG319" s="655">
        <v>0.30806090365489741</v>
      </c>
      <c r="AH319" s="656">
        <v>0.31649187800445761</v>
      </c>
      <c r="AK319" s="657">
        <v>0.30839512948308573</v>
      </c>
      <c r="AL319" s="658">
        <v>0.31846375353191159</v>
      </c>
      <c r="AM319" s="646"/>
    </row>
    <row r="320" spans="2:39">
      <c r="B320" s="655">
        <v>0.31001963662186677</v>
      </c>
      <c r="C320" s="656">
        <v>0.32237220785342408</v>
      </c>
      <c r="F320" s="655">
        <v>0.341966612</v>
      </c>
      <c r="G320" s="656">
        <v>0.34787288799999999</v>
      </c>
      <c r="J320" s="655">
        <v>0.37799020897823921</v>
      </c>
      <c r="K320" s="656">
        <v>0.37168397148448151</v>
      </c>
      <c r="N320" s="655">
        <v>0.40382879291333645</v>
      </c>
      <c r="O320" s="656">
        <v>0.38493025545887011</v>
      </c>
      <c r="R320" s="655">
        <v>0.43057408366499672</v>
      </c>
      <c r="S320" s="656">
        <v>0.39609956410776753</v>
      </c>
      <c r="V320" s="655">
        <v>0.455199937</v>
      </c>
      <c r="W320" s="656">
        <v>0.402937779</v>
      </c>
      <c r="Z320" s="655">
        <v>0.3428422800976938</v>
      </c>
      <c r="AA320" s="656">
        <v>0.35045873619412304</v>
      </c>
      <c r="AC320" s="655">
        <v>0.37914185855176941</v>
      </c>
      <c r="AD320" s="656">
        <v>0.37440740768381092</v>
      </c>
      <c r="AG320" s="655">
        <v>0.30819963341895096</v>
      </c>
      <c r="AH320" s="656">
        <v>0.31650960484278462</v>
      </c>
      <c r="AK320" s="657">
        <v>0.30849939436977791</v>
      </c>
      <c r="AL320" s="658">
        <v>0.31848701308904015</v>
      </c>
      <c r="AM320" s="646"/>
    </row>
    <row r="321" spans="2:39">
      <c r="B321" s="655">
        <v>0.3100828901746574</v>
      </c>
      <c r="C321" s="656">
        <v>0.32238793878964411</v>
      </c>
      <c r="F321" s="655">
        <v>0.34204442200000001</v>
      </c>
      <c r="G321" s="656">
        <v>0.34789358399999998</v>
      </c>
      <c r="J321" s="655">
        <v>0.37808067390390571</v>
      </c>
      <c r="K321" s="656">
        <v>0.3716990203370798</v>
      </c>
      <c r="N321" s="655">
        <v>0.40392193330918547</v>
      </c>
      <c r="O321" s="656">
        <v>0.38494289653094699</v>
      </c>
      <c r="R321" s="655">
        <v>0.43066114541052086</v>
      </c>
      <c r="S321" s="656">
        <v>0.39610687632370684</v>
      </c>
      <c r="V321" s="655">
        <v>0.45528439700000001</v>
      </c>
      <c r="W321" s="656">
        <v>0.40294753999999999</v>
      </c>
      <c r="Z321" s="655">
        <v>0.34289306870372316</v>
      </c>
      <c r="AA321" s="656">
        <v>0.35046959496681729</v>
      </c>
      <c r="AC321" s="655">
        <v>0.37920060303454944</v>
      </c>
      <c r="AD321" s="656">
        <v>0.37441422262056884</v>
      </c>
      <c r="AG321" s="655">
        <v>0.30833961219438621</v>
      </c>
      <c r="AH321" s="656">
        <v>0.31653089268872386</v>
      </c>
      <c r="AK321" s="657">
        <v>0.30860481695776232</v>
      </c>
      <c r="AL321" s="658">
        <v>0.31851323131607356</v>
      </c>
      <c r="AM321" s="646"/>
    </row>
    <row r="322" spans="2:39">
      <c r="B322" s="655">
        <v>0.31014681908057851</v>
      </c>
      <c r="C322" s="656">
        <v>0.32240544013601158</v>
      </c>
      <c r="F322" s="655">
        <v>0.34212301099999998</v>
      </c>
      <c r="G322" s="656">
        <v>0.34791647599999997</v>
      </c>
      <c r="J322" s="655">
        <v>0.37817227177233098</v>
      </c>
      <c r="K322" s="656">
        <v>0.37171647590462198</v>
      </c>
      <c r="N322" s="655">
        <v>0.40401625500171612</v>
      </c>
      <c r="O322" s="656">
        <v>0.38495796141382277</v>
      </c>
      <c r="R322" s="655">
        <v>0.43074919374252846</v>
      </c>
      <c r="S322" s="656">
        <v>0.39611634917383048</v>
      </c>
      <c r="V322" s="655">
        <v>0.45536959399999999</v>
      </c>
      <c r="W322" s="656">
        <v>0.40295938799999997</v>
      </c>
      <c r="Z322" s="655">
        <v>0.34294440771852946</v>
      </c>
      <c r="AA322" s="656">
        <v>0.35048192512767778</v>
      </c>
      <c r="AC322" s="655">
        <v>0.37926013931882613</v>
      </c>
      <c r="AD322" s="656">
        <v>0.37442264765632099</v>
      </c>
      <c r="AG322" s="655">
        <v>0.30848079734231221</v>
      </c>
      <c r="AH322" s="656">
        <v>0.31655573505779133</v>
      </c>
      <c r="AK322" s="657">
        <v>0.30871136513429748</v>
      </c>
      <c r="AL322" s="658">
        <v>0.31854240022668595</v>
      </c>
      <c r="AM322" s="646"/>
    </row>
    <row r="323" spans="2:39">
      <c r="B323" s="655">
        <v>0.31021140386626594</v>
      </c>
      <c r="C323" s="656">
        <v>0.32242470656144673</v>
      </c>
      <c r="F323" s="655">
        <v>0.34220235500000001</v>
      </c>
      <c r="G323" s="656">
        <v>0.34794155599999999</v>
      </c>
      <c r="J323" s="655">
        <v>0.378264974681917</v>
      </c>
      <c r="K323" s="656">
        <v>0.37173633286997304</v>
      </c>
      <c r="N323" s="655">
        <v>0.40411172925962729</v>
      </c>
      <c r="O323" s="656">
        <v>0.38497544551858814</v>
      </c>
      <c r="R323" s="655">
        <v>0.43083820184064464</v>
      </c>
      <c r="S323" s="656">
        <v>0.39612797977261671</v>
      </c>
      <c r="V323" s="655">
        <v>0.45545550000000001</v>
      </c>
      <c r="W323" s="656">
        <v>0.40297332000000002</v>
      </c>
      <c r="Z323" s="655">
        <v>0.3429962815037515</v>
      </c>
      <c r="AA323" s="656">
        <v>0.35049572292081815</v>
      </c>
      <c r="AC323" s="655">
        <v>0.37932044926927044</v>
      </c>
      <c r="AD323" s="656">
        <v>0.37443268022471987</v>
      </c>
      <c r="AG323" s="655">
        <v>0.30862314585636513</v>
      </c>
      <c r="AH323" s="656">
        <v>0.31658412438276073</v>
      </c>
      <c r="AK323" s="657">
        <v>0.30881900644377658</v>
      </c>
      <c r="AL323" s="658">
        <v>0.31857451093574457</v>
      </c>
      <c r="AM323" s="646"/>
    </row>
    <row r="324" spans="2:39">
      <c r="B324" s="655">
        <v>0.31027662485856844</v>
      </c>
      <c r="C324" s="656">
        <v>0.32244573219720984</v>
      </c>
      <c r="F324" s="655">
        <v>0.342282429</v>
      </c>
      <c r="G324" s="656">
        <v>0.34796881699999999</v>
      </c>
      <c r="J324" s="655">
        <v>0.37835875439445948</v>
      </c>
      <c r="K324" s="656">
        <v>0.37175858518450894</v>
      </c>
      <c r="N324" s="655">
        <v>0.40420832700053499</v>
      </c>
      <c r="O324" s="656">
        <v>0.38499534351941544</v>
      </c>
      <c r="R324" s="655">
        <v>0.43092814259214046</v>
      </c>
      <c r="S324" s="656">
        <v>0.3961417645772724</v>
      </c>
      <c r="V324" s="655">
        <v>0.45554209000000001</v>
      </c>
      <c r="W324" s="656">
        <v>0.40298933100000001</v>
      </c>
      <c r="Z324" s="655">
        <v>0.34304867425813185</v>
      </c>
      <c r="AA324" s="656">
        <v>0.3505109841432969</v>
      </c>
      <c r="AC324" s="655">
        <v>0.37938151451488727</v>
      </c>
      <c r="AD324" s="656">
        <v>0.37444431726974797</v>
      </c>
      <c r="AG324" s="655">
        <v>0.30876661437580877</v>
      </c>
      <c r="AH324" s="656">
        <v>0.31661605201596865</v>
      </c>
      <c r="AK324" s="657">
        <v>0.30892770809761411</v>
      </c>
      <c r="AL324" s="658">
        <v>0.31860955366201638</v>
      </c>
      <c r="AM324" s="646"/>
    </row>
    <row r="325" spans="2:39">
      <c r="B325" s="655">
        <v>0.3103424621905399</v>
      </c>
      <c r="C325" s="656">
        <v>0.32246851063868848</v>
      </c>
      <c r="F325" s="655">
        <v>0.342363209</v>
      </c>
      <c r="G325" s="656">
        <v>0.34799825000000001</v>
      </c>
      <c r="J325" s="655">
        <v>0.37845358234374948</v>
      </c>
      <c r="K325" s="656">
        <v>0.37178322606995912</v>
      </c>
      <c r="N325" s="655">
        <v>0.40430601879983169</v>
      </c>
      <c r="O325" s="656">
        <v>0.38501764935518085</v>
      </c>
      <c r="R325" s="655">
        <v>0.43101898860019178</v>
      </c>
      <c r="S325" s="656">
        <v>0.39615769938881246</v>
      </c>
      <c r="V325" s="655">
        <v>0.45562933700000002</v>
      </c>
      <c r="W325" s="656">
        <v>0.40300741699999998</v>
      </c>
      <c r="Z325" s="655">
        <v>0.34310157002232988</v>
      </c>
      <c r="AA325" s="656">
        <v>0.35052770414639783</v>
      </c>
      <c r="AC325" s="655">
        <v>0.37944331645461132</v>
      </c>
      <c r="AD325" s="656">
        <v>0.37445755524664864</v>
      </c>
      <c r="AG325" s="655">
        <v>0.30891115919874218</v>
      </c>
      <c r="AH325" s="656">
        <v>0.31665150823194876</v>
      </c>
      <c r="AK325" s="657">
        <v>0.30903743698423319</v>
      </c>
      <c r="AL325" s="658">
        <v>0.31864751773114747</v>
      </c>
      <c r="AM325" s="646"/>
    </row>
    <row r="326" spans="2:39">
      <c r="B326" s="655">
        <v>0.3104088958074912</v>
      </c>
      <c r="C326" s="656">
        <v>0.32249303494734877</v>
      </c>
      <c r="F326" s="655">
        <v>0.34244467000000001</v>
      </c>
      <c r="G326" s="656">
        <v>0.34802984599999998</v>
      </c>
      <c r="J326" s="655">
        <v>0.37854942964427507</v>
      </c>
      <c r="K326" s="656">
        <v>0.37181024802047113</v>
      </c>
      <c r="N326" s="655">
        <v>0.40440477489964893</v>
      </c>
      <c r="O326" s="656">
        <v>0.38504235623131067</v>
      </c>
      <c r="R326" s="655">
        <v>0.43111071219222441</v>
      </c>
      <c r="S326" s="656">
        <v>0.39617577935333903</v>
      </c>
      <c r="V326" s="655">
        <v>0.45571721599999998</v>
      </c>
      <c r="W326" s="656">
        <v>0.403027572</v>
      </c>
      <c r="Z326" s="655">
        <v>0.34315495268378343</v>
      </c>
      <c r="AA326" s="656">
        <v>0.35054587783704605</v>
      </c>
      <c r="AC326" s="655">
        <v>0.37950583626297296</v>
      </c>
      <c r="AD326" s="656">
        <v>0.37447239012300593</v>
      </c>
      <c r="AG326" s="655">
        <v>0.30905673629541208</v>
      </c>
      <c r="AH326" s="656">
        <v>0.31669048223039414</v>
      </c>
      <c r="AK326" s="657">
        <v>0.30914815967915199</v>
      </c>
      <c r="AL326" s="658">
        <v>0.3186883915789146</v>
      </c>
      <c r="AM326" s="646"/>
    </row>
    <row r="327" spans="2:39">
      <c r="B327" s="655">
        <v>0.31047590547309911</v>
      </c>
      <c r="C327" s="656">
        <v>0.3225192976528487</v>
      </c>
      <c r="F327" s="655">
        <v>0.34252678800000003</v>
      </c>
      <c r="G327" s="656">
        <v>0.348063595</v>
      </c>
      <c r="J327" s="655">
        <v>0.37864626710001997</v>
      </c>
      <c r="K327" s="656">
        <v>0.37183964280489717</v>
      </c>
      <c r="N327" s="655">
        <v>0.404504565217922</v>
      </c>
      <c r="O327" s="656">
        <v>0.38506945662185121</v>
      </c>
      <c r="R327" s="655">
        <v>0.43120328542834374</v>
      </c>
      <c r="S327" s="656">
        <v>0.3961959989635197</v>
      </c>
      <c r="V327" s="655">
        <v>0.45580569799999998</v>
      </c>
      <c r="W327" s="656">
        <v>0.40304978899999999</v>
      </c>
      <c r="Z327" s="655">
        <v>0.34320880598161674</v>
      </c>
      <c r="AA327" s="656">
        <v>0.35056549967935935</v>
      </c>
      <c r="AC327" s="655">
        <v>0.37956905489583298</v>
      </c>
      <c r="AD327" s="656">
        <v>0.37448881737997269</v>
      </c>
      <c r="AG327" s="655">
        <v>0.3092033013216246</v>
      </c>
      <c r="AH327" s="656">
        <v>0.31673296213944735</v>
      </c>
      <c r="AK327" s="657">
        <v>0.30925984245516513</v>
      </c>
      <c r="AL327" s="658">
        <v>0.31873216275474786</v>
      </c>
      <c r="AM327" s="646"/>
    </row>
    <row r="328" spans="2:39">
      <c r="B328" s="655">
        <v>0.31054347077557026</v>
      </c>
      <c r="C328" s="656">
        <v>0.3225472907553138</v>
      </c>
      <c r="F328" s="655">
        <v>0.34260953700000002</v>
      </c>
      <c r="G328" s="656">
        <v>0.34809948800000001</v>
      </c>
      <c r="J328" s="655">
        <v>0.37874406521335713</v>
      </c>
      <c r="K328" s="656">
        <v>0.37187140146930114</v>
      </c>
      <c r="N328" s="655">
        <v>0.40460535935755326</v>
      </c>
      <c r="O328" s="656">
        <v>0.38509894227176089</v>
      </c>
      <c r="R328" s="655">
        <v>0.43129668010984529</v>
      </c>
      <c r="S328" s="656">
        <v>0.3962183520602654</v>
      </c>
      <c r="V328" s="655">
        <v>0.45589475699999998</v>
      </c>
      <c r="W328" s="656">
        <v>0.40307406299999998</v>
      </c>
      <c r="Z328" s="655">
        <v>0.34326311351159355</v>
      </c>
      <c r="AA328" s="656">
        <v>0.3505865636963344</v>
      </c>
      <c r="AC328" s="655">
        <v>0.37963295309618333</v>
      </c>
      <c r="AD328" s="656">
        <v>0.37450683201364743</v>
      </c>
      <c r="AG328" s="655">
        <v>0.30935080963225298</v>
      </c>
      <c r="AH328" s="656">
        <v>0.31677893501931653</v>
      </c>
      <c r="AK328" s="657">
        <v>0.30937245129261709</v>
      </c>
      <c r="AL328" s="658">
        <v>0.31877881792552298</v>
      </c>
      <c r="AM328" s="646"/>
    </row>
    <row r="329" spans="2:39">
      <c r="B329" s="655">
        <v>0.31061157113385912</v>
      </c>
      <c r="C329" s="656">
        <v>0.32257700572777381</v>
      </c>
      <c r="F329" s="655">
        <v>0.342692893</v>
      </c>
      <c r="G329" s="656">
        <v>0.34813751399999998</v>
      </c>
      <c r="J329" s="655">
        <v>0.37884279419403377</v>
      </c>
      <c r="K329" s="656">
        <v>0.37190551433968616</v>
      </c>
      <c r="N329" s="655">
        <v>0.40470712661567143</v>
      </c>
      <c r="O329" s="656">
        <v>0.38513080419942508</v>
      </c>
      <c r="R329" s="655">
        <v>0.43139086778780428</v>
      </c>
      <c r="S329" s="656">
        <v>0.39624283183460624</v>
      </c>
      <c r="V329" s="655">
        <v>0.45598436599999997</v>
      </c>
      <c r="W329" s="656">
        <v>0.40310038599999998</v>
      </c>
      <c r="Z329" s="655">
        <v>0.34331785873111414</v>
      </c>
      <c r="AA329" s="656">
        <v>0.35060906347166765</v>
      </c>
      <c r="AC329" s="655">
        <v>0.37969751140001329</v>
      </c>
      <c r="AD329" s="656">
        <v>0.37452642853659812</v>
      </c>
      <c r="AG329" s="655">
        <v>0.30949921629483679</v>
      </c>
      <c r="AH329" s="656">
        <v>0.31682838686621723</v>
      </c>
      <c r="AK329" s="657">
        <v>0.30948595188976513</v>
      </c>
      <c r="AL329" s="658">
        <v>0.31882834287962303</v>
      </c>
      <c r="AM329" s="646"/>
    </row>
    <row r="330" spans="2:39">
      <c r="B330" s="655">
        <v>0.31068018580393669</v>
      </c>
      <c r="C330" s="656">
        <v>0.32260843351876034</v>
      </c>
      <c r="F330" s="655">
        <v>0.34277682999999998</v>
      </c>
      <c r="G330" s="656">
        <v>0.34817766</v>
      </c>
      <c r="J330" s="655">
        <v>0.37894242396824607</v>
      </c>
      <c r="K330" s="656">
        <v>0.37194197102494142</v>
      </c>
      <c r="N330" s="655">
        <v>0.40480983599298376</v>
      </c>
      <c r="O330" s="656">
        <v>0.38516503269939206</v>
      </c>
      <c r="R330" s="655">
        <v>0.43148581977174161</v>
      </c>
      <c r="S330" s="656">
        <v>0.3962694308297659</v>
      </c>
      <c r="V330" s="655">
        <v>0.45607449700000002</v>
      </c>
      <c r="W330" s="656">
        <v>0.40312874999999998</v>
      </c>
      <c r="Z330" s="655">
        <v>0.34337302496425437</v>
      </c>
      <c r="AA330" s="656">
        <v>0.35063299215170957</v>
      </c>
      <c r="AC330" s="655">
        <v>0.37976271014223806</v>
      </c>
      <c r="AD330" s="656">
        <v>0.3745476009795341</v>
      </c>
      <c r="AG330" s="655">
        <v>0.30964847610326901</v>
      </c>
      <c r="AH330" s="656">
        <v>0.31688130261663777</v>
      </c>
      <c r="AK330" s="657">
        <v>0.30960030967322782</v>
      </c>
      <c r="AL330" s="658">
        <v>0.31888072253126726</v>
      </c>
      <c r="AM330" s="646"/>
    </row>
    <row r="331" spans="2:39">
      <c r="B331" s="655">
        <v>0.31074929388510997</v>
      </c>
      <c r="C331" s="656">
        <v>0.32264156455506376</v>
      </c>
      <c r="F331" s="655">
        <v>0.34286132200000002</v>
      </c>
      <c r="G331" s="656">
        <v>0.34821991499999999</v>
      </c>
      <c r="J331" s="655">
        <v>0.37904292418779956</v>
      </c>
      <c r="K331" s="656">
        <v>0.37198076042000755</v>
      </c>
      <c r="N331" s="655">
        <v>0.404913456203219</v>
      </c>
      <c r="O331" s="656">
        <v>0.38520161734532915</v>
      </c>
      <c r="R331" s="655">
        <v>0.43158150713836319</v>
      </c>
      <c r="S331" s="656">
        <v>0.39629814094343274</v>
      </c>
      <c r="V331" s="655">
        <v>0.45616512399999998</v>
      </c>
      <c r="W331" s="656">
        <v>0.403159145</v>
      </c>
      <c r="Z331" s="655">
        <v>0.34342859540684523</v>
      </c>
      <c r="AA331" s="656">
        <v>0.3506583424475524</v>
      </c>
      <c r="AC331" s="655">
        <v>0.37982852946268919</v>
      </c>
      <c r="AD331" s="656">
        <v>0.37457034289312408</v>
      </c>
      <c r="AG331" s="655">
        <v>0.30979854359156606</v>
      </c>
      <c r="AH331" s="656">
        <v>0.31693766615192792</v>
      </c>
      <c r="AK331" s="657">
        <v>0.3097154898085166</v>
      </c>
      <c r="AL331" s="658">
        <v>0.3189359409251063</v>
      </c>
      <c r="AM331" s="646"/>
    </row>
    <row r="332" spans="2:39">
      <c r="B332" s="655">
        <v>0.31081887432638783</v>
      </c>
      <c r="C332" s="656">
        <v>0.32267638874464954</v>
      </c>
      <c r="F332" s="655">
        <v>0.34294634299999999</v>
      </c>
      <c r="G332" s="656">
        <v>0.34826426500000002</v>
      </c>
      <c r="J332" s="655">
        <v>0.37914426423935382</v>
      </c>
      <c r="K332" s="656">
        <v>0.37202187070925891</v>
      </c>
      <c r="N332" s="655">
        <v>0.40501795568265736</v>
      </c>
      <c r="O332" s="656">
        <v>0.38524054699319871</v>
      </c>
      <c r="R332" s="655">
        <v>0.43167790074037016</v>
      </c>
      <c r="S332" s="656">
        <v>0.396328953430228</v>
      </c>
      <c r="V332" s="655">
        <v>0.45625621799999999</v>
      </c>
      <c r="W332" s="656">
        <v>0.403191564</v>
      </c>
      <c r="Z332" s="655">
        <v>0.34348455313159149</v>
      </c>
      <c r="AA332" s="656">
        <v>0.35068510663725044</v>
      </c>
      <c r="AC332" s="655">
        <v>0.379894949312164</v>
      </c>
      <c r="AD332" s="656">
        <v>0.37459464734996095</v>
      </c>
      <c r="AG332" s="655">
        <v>0.30994937304771725</v>
      </c>
      <c r="AH332" s="656">
        <v>0.31699746030320891</v>
      </c>
      <c r="AK332" s="657">
        <v>0.30983145721064637</v>
      </c>
      <c r="AL332" s="658">
        <v>0.31899398124108252</v>
      </c>
      <c r="AM332" s="646"/>
    </row>
    <row r="333" spans="2:39">
      <c r="B333" s="655">
        <v>0.31088890593289387</v>
      </c>
      <c r="C333" s="656">
        <v>0.32271289547973203</v>
      </c>
      <c r="F333" s="655">
        <v>0.34303186800000002</v>
      </c>
      <c r="G333" s="656">
        <v>0.34831069799999997</v>
      </c>
      <c r="J333" s="655">
        <v>0.37924641325374747</v>
      </c>
      <c r="K333" s="656">
        <v>0.37206528937010325</v>
      </c>
      <c r="N333" s="655">
        <v>0.40512330259974499</v>
      </c>
      <c r="O333" s="656">
        <v>0.38528180978465298</v>
      </c>
      <c r="R333" s="655">
        <v>0.43177497121533753</v>
      </c>
      <c r="S333" s="656">
        <v>0.39636185890436976</v>
      </c>
      <c r="V333" s="655">
        <v>0.456347752</v>
      </c>
      <c r="W333" s="656">
        <v>0.403225995</v>
      </c>
      <c r="Z333" s="655">
        <v>0.34354088109322811</v>
      </c>
      <c r="AA333" s="656">
        <v>0.35071327656817225</v>
      </c>
      <c r="AC333" s="655">
        <v>0.37996194945853301</v>
      </c>
      <c r="AD333" s="656">
        <v>0.37462050694667165</v>
      </c>
      <c r="AG333" s="655">
        <v>0.31010091852760913</v>
      </c>
      <c r="AH333" s="656">
        <v>0.31706066685660295</v>
      </c>
      <c r="AK333" s="657">
        <v>0.30994817655482304</v>
      </c>
      <c r="AL333" s="658">
        <v>0.31905482579955347</v>
      </c>
      <c r="AM333" s="646"/>
    </row>
    <row r="334" spans="2:39">
      <c r="B334" s="655">
        <v>0.31095936737232227</v>
      </c>
      <c r="C334" s="656">
        <v>0.32275107364000627</v>
      </c>
      <c r="F334" s="655">
        <v>0.34311787100000002</v>
      </c>
      <c r="G334" s="656">
        <v>0.34835919900000001</v>
      </c>
      <c r="J334" s="655">
        <v>0.37934934011540122</v>
      </c>
      <c r="K334" s="656">
        <v>0.37211100317679585</v>
      </c>
      <c r="N334" s="655">
        <v>0.40522946486479056</v>
      </c>
      <c r="O334" s="656">
        <v>0.38532539315064585</v>
      </c>
      <c r="R334" s="655">
        <v>0.43187268899465836</v>
      </c>
      <c r="S334" s="656">
        <v>0.39639684734253178</v>
      </c>
      <c r="V334" s="655">
        <v>0.456439698</v>
      </c>
      <c r="W334" s="656">
        <v>0.40326242899999998</v>
      </c>
      <c r="Z334" s="655">
        <v>0.34359756213371245</v>
      </c>
      <c r="AA334" s="656">
        <v>0.35074284365948394</v>
      </c>
      <c r="AC334" s="655">
        <v>0.38002950949290254</v>
      </c>
      <c r="AD334" s="656">
        <v>0.37464791380617263</v>
      </c>
      <c r="AG334" s="655">
        <v>0.31025313386902054</v>
      </c>
      <c r="AH334" s="656">
        <v>0.31712726655878165</v>
      </c>
      <c r="AK334" s="657">
        <v>0.31006561228720381</v>
      </c>
      <c r="AL334" s="658">
        <v>0.3191184560666771</v>
      </c>
      <c r="AM334" s="646"/>
    </row>
    <row r="335" spans="2:39">
      <c r="B335" s="655">
        <v>0.31103023718143613</v>
      </c>
      <c r="C335" s="656">
        <v>0.32279091159603462</v>
      </c>
      <c r="F335" s="655">
        <v>0.343204326</v>
      </c>
      <c r="G335" s="656">
        <v>0.34840975400000002</v>
      </c>
      <c r="J335" s="655">
        <v>0.37945301347179583</v>
      </c>
      <c r="K335" s="656">
        <v>0.37215899820446829</v>
      </c>
      <c r="N335" s="655">
        <v>0.40533641013973959</v>
      </c>
      <c r="O335" s="656">
        <v>0.38537128381526192</v>
      </c>
      <c r="R335" s="655">
        <v>0.43197102431255041</v>
      </c>
      <c r="S335" s="656">
        <v>0.39643390808689688</v>
      </c>
      <c r="V335" s="655">
        <v>0.45653202799999998</v>
      </c>
      <c r="W335" s="656">
        <v>0.40330085500000001</v>
      </c>
      <c r="Z335" s="655">
        <v>0.34365457898745039</v>
      </c>
      <c r="AA335" s="656">
        <v>0.35077379890476318</v>
      </c>
      <c r="AC335" s="655">
        <v>0.38009760883583166</v>
      </c>
      <c r="AD335" s="656">
        <v>0.3746768595800688</v>
      </c>
      <c r="AG335" s="655">
        <v>0.31040597270568382</v>
      </c>
      <c r="AH335" s="656">
        <v>0.31719723912283049</v>
      </c>
      <c r="AK335" s="657">
        <v>0.31018372863572685</v>
      </c>
      <c r="AL335" s="658">
        <v>0.31918485266005769</v>
      </c>
      <c r="AM335" s="646"/>
    </row>
    <row r="336" spans="2:39">
      <c r="B336" s="655">
        <v>0.31110149377260493</v>
      </c>
      <c r="C336" s="656">
        <v>0.32283239721278983</v>
      </c>
      <c r="F336" s="655">
        <v>0.34329120499999999</v>
      </c>
      <c r="G336" s="656">
        <v>0.34846234599999998</v>
      </c>
      <c r="J336" s="655">
        <v>0.37955740174302277</v>
      </c>
      <c r="K336" s="656">
        <v>0.37220925983337033</v>
      </c>
      <c r="N336" s="655">
        <v>0.40544410584802543</v>
      </c>
      <c r="O336" s="656">
        <v>0.38541946779976016</v>
      </c>
      <c r="R336" s="655">
        <v>0.43206994721512326</v>
      </c>
      <c r="S336" s="656">
        <v>0.39647302984840332</v>
      </c>
      <c r="V336" s="655">
        <v>0.45662471399999999</v>
      </c>
      <c r="W336" s="656">
        <v>0.40334125999999998</v>
      </c>
      <c r="Z336" s="655">
        <v>0.34371191428655595</v>
      </c>
      <c r="AA336" s="656">
        <v>0.35080613287474227</v>
      </c>
      <c r="AC336" s="655">
        <v>0.38016622674360079</v>
      </c>
      <c r="AD336" s="656">
        <v>0.37470733545119722</v>
      </c>
      <c r="AG336" s="655">
        <v>0.31055938848140885</v>
      </c>
      <c r="AH336" s="656">
        <v>0.31727056323442865</v>
      </c>
      <c r="AK336" s="657">
        <v>0.31030248962100826</v>
      </c>
      <c r="AL336" s="658">
        <v>0.31925399535464977</v>
      </c>
      <c r="AM336" s="646"/>
    </row>
    <row r="337" spans="2:39">
      <c r="B337" s="655">
        <v>0.31117311544038084</v>
      </c>
      <c r="C337" s="656">
        <v>0.32287551785335122</v>
      </c>
      <c r="F337" s="655">
        <v>0.34337848399999998</v>
      </c>
      <c r="G337" s="656">
        <v>0.34851695999999999</v>
      </c>
      <c r="J337" s="655">
        <v>0.37966247313140328</v>
      </c>
      <c r="K337" s="656">
        <v>0.37226177275332278</v>
      </c>
      <c r="N337" s="655">
        <v>0.40555251918449198</v>
      </c>
      <c r="O337" s="656">
        <v>0.3854699304268322</v>
      </c>
      <c r="R337" s="655">
        <v>0.4321694275695025</v>
      </c>
      <c r="S337" s="656">
        <v>0.39651420071018362</v>
      </c>
      <c r="V337" s="655">
        <v>0.45671772700000002</v>
      </c>
      <c r="W337" s="656">
        <v>0.40338363300000002</v>
      </c>
      <c r="Z337" s="655">
        <v>0.34376955056614167</v>
      </c>
      <c r="AA337" s="656">
        <v>0.35083983572018085</v>
      </c>
      <c r="AC337" s="655">
        <v>0.38023534231453054</v>
      </c>
      <c r="AD337" s="656">
        <v>0.37473933213631222</v>
      </c>
      <c r="AG337" s="655">
        <v>0.31071333446426413</v>
      </c>
      <c r="AH337" s="656">
        <v>0.31734721655834142</v>
      </c>
      <c r="AK337" s="657">
        <v>0.31042185906730141</v>
      </c>
      <c r="AL337" s="658">
        <v>0.31932586308891869</v>
      </c>
      <c r="AM337" s="646"/>
    </row>
    <row r="338" spans="2:39">
      <c r="B338" s="655">
        <v>0.31124508036810999</v>
      </c>
      <c r="C338" s="656">
        <v>0.32292026038275384</v>
      </c>
      <c r="F338" s="655">
        <v>0.34346613399999998</v>
      </c>
      <c r="G338" s="656">
        <v>0.34857357900000002</v>
      </c>
      <c r="J338" s="655">
        <v>0.37976819563117464</v>
      </c>
      <c r="K338" s="656">
        <v>0.37231652096838158</v>
      </c>
      <c r="N338" s="655">
        <v>0.40566161712538679</v>
      </c>
      <c r="O338" s="656">
        <v>0.38552265632507288</v>
      </c>
      <c r="R338" s="655">
        <v>0.43226943507300852</v>
      </c>
      <c r="S338" s="656">
        <v>0.39655740813119433</v>
      </c>
      <c r="V338" s="655">
        <v>0.45681104</v>
      </c>
      <c r="W338" s="656">
        <v>0.40342795999999997</v>
      </c>
      <c r="Z338" s="655">
        <v>0.34382747026963839</v>
      </c>
      <c r="AA338" s="656">
        <v>0.35087489717486559</v>
      </c>
      <c r="AC338" s="655">
        <v>0.38030493449534852</v>
      </c>
      <c r="AD338" s="656">
        <v>0.37477283988891352</v>
      </c>
      <c r="AG338" s="655">
        <v>0.31086776376081193</v>
      </c>
      <c r="AH338" s="656">
        <v>0.31742717574522383</v>
      </c>
      <c r="AK338" s="657">
        <v>0.31054180061351661</v>
      </c>
      <c r="AL338" s="658">
        <v>0.31940043397125645</v>
      </c>
      <c r="AM338" s="646"/>
    </row>
    <row r="339" spans="2:39">
      <c r="B339" s="655">
        <v>0.31131736663457821</v>
      </c>
      <c r="C339" s="656">
        <v>0.32296661117198988</v>
      </c>
      <c r="F339" s="655">
        <v>0.34355413000000001</v>
      </c>
      <c r="G339" s="656">
        <v>0.34863218699999998</v>
      </c>
      <c r="J339" s="655">
        <v>0.37987453703823931</v>
      </c>
      <c r="K339" s="656">
        <v>0.37237348780171003</v>
      </c>
      <c r="N339" s="655">
        <v>0.40577136643842021</v>
      </c>
      <c r="O339" s="656">
        <v>0.38557762943366286</v>
      </c>
      <c r="R339" s="655">
        <v>0.43236993926238693</v>
      </c>
      <c r="S339" s="656">
        <v>0.3966026389500365</v>
      </c>
      <c r="V339" s="655">
        <v>0.45690462300000001</v>
      </c>
      <c r="W339" s="656">
        <v>0.40347422799999999</v>
      </c>
      <c r="Z339" s="655">
        <v>0.34388565575414337</v>
      </c>
      <c r="AA339" s="656">
        <v>0.35091130655873781</v>
      </c>
      <c r="AC339" s="655">
        <v>0.38037498208760218</v>
      </c>
      <c r="AD339" s="656">
        <v>0.37480784850221516</v>
      </c>
      <c r="AG339" s="655">
        <v>0.3110226293303926</v>
      </c>
      <c r="AH339" s="656">
        <v>0.31751041643873296</v>
      </c>
      <c r="AK339" s="657">
        <v>0.310662277724297</v>
      </c>
      <c r="AL339" s="658">
        <v>0.31947768528664983</v>
      </c>
      <c r="AM339" s="646"/>
    </row>
    <row r="340" spans="2:39">
      <c r="B340" s="655">
        <v>0.31138995222068855</v>
      </c>
      <c r="C340" s="656">
        <v>0.32301455610215996</v>
      </c>
      <c r="F340" s="655">
        <v>0.34364244399999999</v>
      </c>
      <c r="G340" s="656">
        <v>0.34869276399999999</v>
      </c>
      <c r="J340" s="655">
        <v>0.37998146495997454</v>
      </c>
      <c r="K340" s="656">
        <v>0.37243265590065888</v>
      </c>
      <c r="N340" s="655">
        <v>0.40588173369288827</v>
      </c>
      <c r="O340" s="656">
        <v>0.38563483300726076</v>
      </c>
      <c r="R340" s="655">
        <v>0.43247090952308803</v>
      </c>
      <c r="S340" s="656">
        <v>0.39664987938896457</v>
      </c>
      <c r="V340" s="655">
        <v>0.456998448</v>
      </c>
      <c r="W340" s="656">
        <v>0.40352242199999999</v>
      </c>
      <c r="Z340" s="655">
        <v>0.34394408929579434</v>
      </c>
      <c r="AA340" s="656">
        <v>0.35094905278114646</v>
      </c>
      <c r="AC340" s="655">
        <v>0.38044546375411642</v>
      </c>
      <c r="AD340" s="656">
        <v>0.37484434731225436</v>
      </c>
      <c r="AG340" s="655">
        <v>0.3111778839994534</v>
      </c>
      <c r="AH340" s="656">
        <v>0.31759691328294709</v>
      </c>
      <c r="AK340" s="657">
        <v>0.31078325370114757</v>
      </c>
      <c r="AL340" s="658">
        <v>0.31955759350359991</v>
      </c>
      <c r="AM340" s="646"/>
    </row>
    <row r="341" spans="2:39">
      <c r="B341" s="655">
        <v>0.31146281501616829</v>
      </c>
      <c r="C341" s="656">
        <v>0.32306408056877378</v>
      </c>
      <c r="F341" s="655">
        <v>0.34373104999999998</v>
      </c>
      <c r="G341" s="656">
        <v>0.34875529300000002</v>
      </c>
      <c r="J341" s="655">
        <v>0.38008894682509942</v>
      </c>
      <c r="K341" s="656">
        <v>0.37249400724205206</v>
      </c>
      <c r="N341" s="655">
        <v>0.40599268526985616</v>
      </c>
      <c r="O341" s="656">
        <v>0.38569424962110388</v>
      </c>
      <c r="R341" s="655">
        <v>0.43257231509859234</v>
      </c>
      <c r="S341" s="656">
        <v>0.39669911505808325</v>
      </c>
      <c r="V341" s="655">
        <v>0.45709248699999999</v>
      </c>
      <c r="W341" s="656">
        <v>0.40357252999999998</v>
      </c>
      <c r="Z341" s="655">
        <v>0.34400275309516853</v>
      </c>
      <c r="AA341" s="656">
        <v>0.35098812434422655</v>
      </c>
      <c r="AC341" s="655">
        <v>0.38051635802549288</v>
      </c>
      <c r="AD341" s="656">
        <v>0.37488232520114001</v>
      </c>
      <c r="AG341" s="655">
        <v>0.31133348047591813</v>
      </c>
      <c r="AH341" s="656">
        <v>0.31768663993008972</v>
      </c>
      <c r="AK341" s="657">
        <v>0.31090469169361379</v>
      </c>
      <c r="AL341" s="658">
        <v>0.31964013428128962</v>
      </c>
      <c r="AM341" s="646"/>
    </row>
    <row r="342" spans="2:39">
      <c r="B342" s="655">
        <v>0.3115359328263041</v>
      </c>
      <c r="C342" s="656">
        <v>0.32311516948619912</v>
      </c>
      <c r="F342" s="655">
        <v>0.34381992099999997</v>
      </c>
      <c r="G342" s="656">
        <v>0.34881975500000001</v>
      </c>
      <c r="J342" s="655">
        <v>0.38019694989359676</v>
      </c>
      <c r="K342" s="656">
        <v>0.37255752313767659</v>
      </c>
      <c r="N342" s="655">
        <v>0.40610418737239867</v>
      </c>
      <c r="O342" s="656">
        <v>0.38575586117631611</v>
      </c>
      <c r="R342" s="655">
        <v>0.43267412509977915</v>
      </c>
      <c r="S342" s="656">
        <v>0.39675033095973067</v>
      </c>
      <c r="V342" s="655">
        <v>0.457186712</v>
      </c>
      <c r="W342" s="656">
        <v>0.40362453399999998</v>
      </c>
      <c r="Z342" s="655">
        <v>0.34406162928270428</v>
      </c>
      <c r="AA342" s="656">
        <v>0.35102850934640151</v>
      </c>
      <c r="AC342" s="655">
        <v>0.38058764330664968</v>
      </c>
      <c r="AD342" s="656">
        <v>0.37492177060043924</v>
      </c>
      <c r="AG342" s="655">
        <v>0.31148937136359278</v>
      </c>
      <c r="AH342" s="656">
        <v>0.31777956904855481</v>
      </c>
      <c r="AK342" s="657">
        <v>0.31102655471050678</v>
      </c>
      <c r="AL342" s="658">
        <v>0.31972528247699855</v>
      </c>
      <c r="AM342" s="646"/>
    </row>
    <row r="343" spans="2:39">
      <c r="B343" s="655">
        <v>0.31160928337870269</v>
      </c>
      <c r="C343" s="656">
        <v>0.32316780729225686</v>
      </c>
      <c r="F343" s="655">
        <v>0.34390902899999998</v>
      </c>
      <c r="G343" s="656">
        <v>0.34888613000000002</v>
      </c>
      <c r="J343" s="655">
        <v>0.38030544126668564</v>
      </c>
      <c r="K343" s="656">
        <v>0.37262318423997537</v>
      </c>
      <c r="N343" s="655">
        <v>0.40621620603589526</v>
      </c>
      <c r="O343" s="656">
        <v>0.38581964890542086</v>
      </c>
      <c r="R343" s="655">
        <v>0.43277630851433591</v>
      </c>
      <c r="S343" s="656">
        <v>0.39680351149304716</v>
      </c>
      <c r="V343" s="655">
        <v>0.457281092</v>
      </c>
      <c r="W343" s="656">
        <v>0.40367841900000001</v>
      </c>
      <c r="Z343" s="655">
        <v>0.34412069992414457</v>
      </c>
      <c r="AA343" s="656">
        <v>0.35107019548600837</v>
      </c>
      <c r="AC343" s="655">
        <v>0.38065929788339964</v>
      </c>
      <c r="AD343" s="656">
        <v>0.37496267149470136</v>
      </c>
      <c r="AG343" s="655">
        <v>0.31164550917660283</v>
      </c>
      <c r="AH343" s="656">
        <v>0.31787567233123271</v>
      </c>
      <c r="AK343" s="657">
        <v>0.31114880563117114</v>
      </c>
      <c r="AL343" s="658">
        <v>0.31981301215376146</v>
      </c>
      <c r="AM343" s="646"/>
    </row>
    <row r="344" spans="2:39">
      <c r="B344" s="655">
        <v>0.31168284433007526</v>
      </c>
      <c r="C344" s="656">
        <v>0.32322197795296131</v>
      </c>
      <c r="F344" s="655">
        <v>0.34399834800000001</v>
      </c>
      <c r="G344" s="656">
        <v>0.348954398</v>
      </c>
      <c r="J344" s="655">
        <v>0.38041438789684273</v>
      </c>
      <c r="K344" s="656">
        <v>0.37269097054794059</v>
      </c>
      <c r="N344" s="655">
        <v>0.40632870713837588</v>
      </c>
      <c r="O344" s="656">
        <v>0.38588559337805789</v>
      </c>
      <c r="R344" s="655">
        <v>0.43287883421620466</v>
      </c>
      <c r="S344" s="656">
        <v>0.39685864045872699</v>
      </c>
      <c r="V344" s="655">
        <v>0.45737559999999999</v>
      </c>
      <c r="W344" s="656">
        <v>0.40373416899999998</v>
      </c>
      <c r="Z344" s="655">
        <v>0.34417994702599974</v>
      </c>
      <c r="AA344" s="656">
        <v>0.35111317006504522</v>
      </c>
      <c r="AC344" s="655">
        <v>0.38073129992906452</v>
      </c>
      <c r="AD344" s="656">
        <v>0.37500501542511772</v>
      </c>
      <c r="AG344" s="655">
        <v>0.31180184635385788</v>
      </c>
      <c r="AH344" s="656">
        <v>0.31797492050413251</v>
      </c>
      <c r="AK344" s="657">
        <v>0.31127140721679208</v>
      </c>
      <c r="AL344" s="658">
        <v>0.31990329658826883</v>
      </c>
      <c r="AM344" s="646"/>
    </row>
    <row r="345" spans="2:39">
      <c r="B345" s="655">
        <v>0.31175659327304339</v>
      </c>
      <c r="C345" s="656">
        <v>0.32327766496740445</v>
      </c>
      <c r="F345" s="655">
        <v>0.34408784999999997</v>
      </c>
      <c r="G345" s="656">
        <v>0.34902453700000002</v>
      </c>
      <c r="J345" s="655">
        <v>0.38052375659786924</v>
      </c>
      <c r="K345" s="656">
        <v>0.37276086141320619</v>
      </c>
      <c r="N345" s="655">
        <v>0.4064416564109149</v>
      </c>
      <c r="O345" s="656">
        <v>0.3859536745069021</v>
      </c>
      <c r="R345" s="655">
        <v>0.4329816709750634</v>
      </c>
      <c r="S345" s="656">
        <v>0.39691570106395324</v>
      </c>
      <c r="V345" s="655">
        <v>0.45747020700000002</v>
      </c>
      <c r="W345" s="656">
        <v>0.403791766</v>
      </c>
      <c r="Z345" s="655">
        <v>0.34423935254102866</v>
      </c>
      <c r="AA345" s="656">
        <v>0.35115741999303901</v>
      </c>
      <c r="AC345" s="655">
        <v>0.38080362751112373</v>
      </c>
      <c r="AD345" s="656">
        <v>0.37504878949331688</v>
      </c>
      <c r="AG345" s="655">
        <v>0.31195833527353928</v>
      </c>
      <c r="AH345" s="656">
        <v>0.31807728333529933</v>
      </c>
      <c r="AK345" s="657">
        <v>0.31139432212173901</v>
      </c>
      <c r="AL345" s="658">
        <v>0.31999610827900743</v>
      </c>
      <c r="AM345" s="646"/>
    </row>
    <row r="346" spans="2:39">
      <c r="B346" s="655">
        <v>0.31183050774296467</v>
      </c>
      <c r="C346" s="656">
        <v>0.32333485137278228</v>
      </c>
      <c r="F346" s="655">
        <v>0.34417750800000002</v>
      </c>
      <c r="G346" s="656">
        <v>0.34909652800000002</v>
      </c>
      <c r="J346" s="655">
        <v>0.38063351405499923</v>
      </c>
      <c r="K346" s="656">
        <v>0.3728328355463375</v>
      </c>
      <c r="N346" s="655">
        <v>0.40655501944806971</v>
      </c>
      <c r="O346" s="656">
        <v>0.38602387155378204</v>
      </c>
      <c r="R346" s="655">
        <v>0.43308478746583917</v>
      </c>
      <c r="S346" s="656">
        <v>0.39697467592751279</v>
      </c>
      <c r="V346" s="655">
        <v>0.45756488400000001</v>
      </c>
      <c r="W346" s="656">
        <v>0.40385119400000002</v>
      </c>
      <c r="Z346" s="655">
        <v>0.34429889837373601</v>
      </c>
      <c r="AA346" s="656">
        <v>0.35120293179103296</v>
      </c>
      <c r="AC346" s="655">
        <v>0.38087625859789515</v>
      </c>
      <c r="AD346" s="656">
        <v>0.37509398036529373</v>
      </c>
      <c r="AG346" s="655">
        <v>0.31211492826760612</v>
      </c>
      <c r="AH346" s="656">
        <v>0.31818272964402317</v>
      </c>
      <c r="AK346" s="657">
        <v>0.31151751290494112</v>
      </c>
      <c r="AL346" s="658">
        <v>0.32009141895463711</v>
      </c>
      <c r="AM346" s="646"/>
    </row>
    <row r="347" spans="2:39">
      <c r="B347" s="655">
        <v>0.3119045652247755</v>
      </c>
      <c r="C347" s="656">
        <v>0.32339351974956165</v>
      </c>
      <c r="F347" s="655">
        <v>0.344267294</v>
      </c>
      <c r="G347" s="656">
        <v>0.34917034699999999</v>
      </c>
      <c r="J347" s="655">
        <v>0.38074362683504814</v>
      </c>
      <c r="K347" s="656">
        <v>0.37290687102331643</v>
      </c>
      <c r="N347" s="655">
        <v>0.40666876171836103</v>
      </c>
      <c r="O347" s="656">
        <v>0.38609616313599726</v>
      </c>
      <c r="R347" s="655">
        <v>0.43318815227825003</v>
      </c>
      <c r="S347" s="656">
        <v>0.39703554708509087</v>
      </c>
      <c r="V347" s="655">
        <v>0.45765960300000003</v>
      </c>
      <c r="W347" s="656">
        <v>0.40391243399999999</v>
      </c>
      <c r="Z347" s="655">
        <v>0.34435856638588425</v>
      </c>
      <c r="AA347" s="656">
        <v>0.35124969159569258</v>
      </c>
      <c r="AC347" s="655">
        <v>0.38094917106524617</v>
      </c>
      <c r="AD347" s="656">
        <v>0.37514057427547076</v>
      </c>
      <c r="AG347" s="655">
        <v>0.31227157763631547</v>
      </c>
      <c r="AH347" s="656">
        <v>0.31829122731033693</v>
      </c>
      <c r="AK347" s="657">
        <v>0.31164094204129256</v>
      </c>
      <c r="AL347" s="658">
        <v>0.32018919958260283</v>
      </c>
      <c r="AM347" s="646"/>
    </row>
    <row r="348" spans="2:39">
      <c r="B348" s="655">
        <v>0.31197874315984958</v>
      </c>
      <c r="C348" s="656">
        <v>0.32345365222678679</v>
      </c>
      <c r="F348" s="655">
        <v>0.34435718199999998</v>
      </c>
      <c r="G348" s="656">
        <v>0.34924597200000002</v>
      </c>
      <c r="J348" s="655">
        <v>0.38085406139659633</v>
      </c>
      <c r="K348" s="656">
        <v>0.37298294529221948</v>
      </c>
      <c r="N348" s="655">
        <v>0.40678284857479152</v>
      </c>
      <c r="O348" s="656">
        <v>0.38617052723283146</v>
      </c>
      <c r="R348" s="655">
        <v>0.43329173392637271</v>
      </c>
      <c r="S348" s="656">
        <v>0.39709829599474322</v>
      </c>
      <c r="V348" s="655">
        <v>0.45775433300000001</v>
      </c>
      <c r="W348" s="656">
        <v>0.40397546699999998</v>
      </c>
      <c r="Z348" s="655">
        <v>0.34441833840201891</v>
      </c>
      <c r="AA348" s="656">
        <v>0.35129768516352838</v>
      </c>
      <c r="AC348" s="655">
        <v>0.38102234270333285</v>
      </c>
      <c r="AD348" s="656">
        <v>0.37518855703089166</v>
      </c>
      <c r="AG348" s="655">
        <v>0.31242823566275213</v>
      </c>
      <c r="AH348" s="656">
        <v>0.31840274328480039</v>
      </c>
      <c r="AK348" s="657">
        <v>0.3117645719330826</v>
      </c>
      <c r="AL348" s="658">
        <v>0.32028942037797803</v>
      </c>
      <c r="AM348" s="646"/>
    </row>
    <row r="349" spans="2:39">
      <c r="B349" s="655">
        <v>0.31205301895286919</v>
      </c>
      <c r="C349" s="656">
        <v>0.32351523048752256</v>
      </c>
      <c r="F349" s="655">
        <v>0.34444714399999998</v>
      </c>
      <c r="G349" s="656">
        <v>0.34932338099999999</v>
      </c>
      <c r="J349" s="655">
        <v>0.38096478410020668</v>
      </c>
      <c r="K349" s="656">
        <v>0.37306103518008737</v>
      </c>
      <c r="N349" s="655">
        <v>0.40689724526539944</v>
      </c>
      <c r="O349" s="656">
        <v>0.38624694119226044</v>
      </c>
      <c r="R349" s="655">
        <v>0.43339550085823386</v>
      </c>
      <c r="S349" s="656">
        <v>0.39716290354254413</v>
      </c>
      <c r="V349" s="655">
        <v>0.45784904700000001</v>
      </c>
      <c r="W349" s="656">
        <v>0.40404027399999998</v>
      </c>
      <c r="Z349" s="655">
        <v>0.34447819621500481</v>
      </c>
      <c r="AA349" s="656">
        <v>0.35134689787523465</v>
      </c>
      <c r="AC349" s="655">
        <v>0.38109575122336542</v>
      </c>
      <c r="AD349" s="656">
        <v>0.37523791401554429</v>
      </c>
      <c r="AG349" s="655">
        <v>0.31258485462736368</v>
      </c>
      <c r="AH349" s="656">
        <v>0.31851724359856748</v>
      </c>
      <c r="AK349" s="657">
        <v>0.31188836492144867</v>
      </c>
      <c r="AL349" s="658">
        <v>0.32039205081253758</v>
      </c>
      <c r="AM349" s="646"/>
    </row>
    <row r="350" spans="2:39">
      <c r="B350" s="655">
        <v>0.31212736997870838</v>
      </c>
      <c r="C350" s="656">
        <v>0.32357823577443418</v>
      </c>
      <c r="F350" s="655">
        <v>0.34453715299999998</v>
      </c>
      <c r="G350" s="656">
        <v>0.34940254900000001</v>
      </c>
      <c r="J350" s="655">
        <v>0.38107576121867104</v>
      </c>
      <c r="K350" s="656">
        <v>0.37314111689998375</v>
      </c>
      <c r="N350" s="655">
        <v>0.40701191694384475</v>
      </c>
      <c r="O350" s="656">
        <v>0.38632538173785191</v>
      </c>
      <c r="R350" s="655">
        <v>0.43349942146542075</v>
      </c>
      <c r="S350" s="656">
        <v>0.39722935004840865</v>
      </c>
      <c r="V350" s="655">
        <v>0.45794371499999997</v>
      </c>
      <c r="W350" s="656">
        <v>0.40410683600000002</v>
      </c>
      <c r="Z350" s="655">
        <v>0.34453812159157232</v>
      </c>
      <c r="AA350" s="656">
        <v>0.35139731474014269</v>
      </c>
      <c r="AC350" s="655">
        <v>0.38116937426439756</v>
      </c>
      <c r="AD350" s="656">
        <v>0.37528863019481296</v>
      </c>
      <c r="AG350" s="655">
        <v>0.3127413868224963</v>
      </c>
      <c r="AH350" s="656">
        <v>0.31863469337373335</v>
      </c>
      <c r="AK350" s="657">
        <v>0.31201228329784725</v>
      </c>
      <c r="AL350" s="658">
        <v>0.32049705962405695</v>
      </c>
      <c r="AM350" s="646"/>
    </row>
    <row r="351" spans="2:39">
      <c r="B351" s="655">
        <v>0.31220177358932427</v>
      </c>
      <c r="C351" s="656">
        <v>0.32364264889550093</v>
      </c>
      <c r="F351" s="655">
        <v>0.344627181</v>
      </c>
      <c r="G351" s="656">
        <v>0.34948345199999997</v>
      </c>
      <c r="J351" s="655">
        <v>0.38118695894728399</v>
      </c>
      <c r="K351" s="656">
        <v>0.37322316605824096</v>
      </c>
      <c r="N351" s="655">
        <v>0.40712682868002331</v>
      </c>
      <c r="O351" s="656">
        <v>0.38640582497585574</v>
      </c>
      <c r="R351" s="655">
        <v>0.43360346409270978</v>
      </c>
      <c r="S351" s="656">
        <v>0.3972976152720874</v>
      </c>
      <c r="V351" s="655">
        <v>0.45803831</v>
      </c>
      <c r="W351" s="656">
        <v>0.40417513199999999</v>
      </c>
      <c r="Z351" s="655">
        <v>0.34459809627787119</v>
      </c>
      <c r="AA351" s="656">
        <v>0.35144892040078707</v>
      </c>
      <c r="AC351" s="655">
        <v>0.38124318940013779</v>
      </c>
      <c r="AD351" s="656">
        <v>0.37534069012005822</v>
      </c>
      <c r="AG351" s="655">
        <v>0.31289778456692696</v>
      </c>
      <c r="AH351" s="656">
        <v>0.31875505683395883</v>
      </c>
      <c r="AK351" s="657">
        <v>0.31213628931554049</v>
      </c>
      <c r="AL351" s="658">
        <v>0.3206044148258349</v>
      </c>
      <c r="AM351" s="646"/>
    </row>
    <row r="352" spans="2:39">
      <c r="B352" s="655">
        <v>0.31227620712065646</v>
      </c>
      <c r="C352" s="656">
        <v>0.32370845022986217</v>
      </c>
      <c r="F352" s="655">
        <v>0.3447172</v>
      </c>
      <c r="G352" s="656">
        <v>0.34956606699999998</v>
      </c>
      <c r="J352" s="655">
        <v>0.38129834341414032</v>
      </c>
      <c r="K352" s="656">
        <v>0.37330715766189065</v>
      </c>
      <c r="N352" s="655">
        <v>0.40724194547070702</v>
      </c>
      <c r="O352" s="656">
        <v>0.38648824640248247</v>
      </c>
      <c r="R352" s="655">
        <v>0.43370759704770878</v>
      </c>
      <c r="S352" s="656">
        <v>0.39736767841933196</v>
      </c>
      <c r="V352" s="655">
        <v>0.45813280099999998</v>
      </c>
      <c r="W352" s="656">
        <v>0.404245142</v>
      </c>
      <c r="Z352" s="655">
        <v>0.34465810200503094</v>
      </c>
      <c r="AA352" s="656">
        <v>0.35150169913758356</v>
      </c>
      <c r="AC352" s="655">
        <v>0.38131717414578065</v>
      </c>
      <c r="AD352" s="656">
        <v>0.37539407793332247</v>
      </c>
      <c r="AG352" s="655">
        <v>0.31305400022038765</v>
      </c>
      <c r="AH352" s="656">
        <v>0.31887829731536793</v>
      </c>
      <c r="AK352" s="657">
        <v>0.31226034520109408</v>
      </c>
      <c r="AL352" s="658">
        <v>0.320714083716437</v>
      </c>
      <c r="AM352" s="646"/>
    </row>
    <row r="353" spans="2:39">
      <c r="B353" s="655">
        <v>0.31235064789953015</v>
      </c>
      <c r="C353" s="656">
        <v>0.32377561973379404</v>
      </c>
      <c r="F353" s="655">
        <v>0.34480718399999999</v>
      </c>
      <c r="G353" s="656">
        <v>0.34965036700000002</v>
      </c>
      <c r="J353" s="655">
        <v>0.38140988069045229</v>
      </c>
      <c r="K353" s="656">
        <v>0.37339306612627671</v>
      </c>
      <c r="N353" s="655">
        <v>0.40735723225020642</v>
      </c>
      <c r="O353" s="656">
        <v>0.38657262091136702</v>
      </c>
      <c r="R353" s="655">
        <v>0.4338117886105109</v>
      </c>
      <c r="S353" s="656">
        <v>0.39743951814822892</v>
      </c>
      <c r="V353" s="655">
        <v>0.45822716000000002</v>
      </c>
      <c r="W353" s="656">
        <v>0.40431684299999998</v>
      </c>
      <c r="Z353" s="655">
        <v>0.34471812049472583</v>
      </c>
      <c r="AA353" s="656">
        <v>0.35155563487361774</v>
      </c>
      <c r="AC353" s="655">
        <v>0.38139130596485599</v>
      </c>
      <c r="AD353" s="656">
        <v>0.37544877737216065</v>
      </c>
      <c r="AG353" s="655">
        <v>0.31320998619807711</v>
      </c>
      <c r="AH353" s="656">
        <v>0.31900437727771608</v>
      </c>
      <c r="AK353" s="657">
        <v>0.31238441316588361</v>
      </c>
      <c r="AL353" s="658">
        <v>0.32082603288965672</v>
      </c>
      <c r="AM353" s="646"/>
    </row>
    <row r="354" spans="2:39">
      <c r="B354" s="655">
        <v>0.31242507325056307</v>
      </c>
      <c r="C354" s="656">
        <v>0.32384413694681491</v>
      </c>
      <c r="F354" s="655">
        <v>0.34489710499999998</v>
      </c>
      <c r="G354" s="656">
        <v>0.34973632700000001</v>
      </c>
      <c r="J354" s="655">
        <v>0.38152153680088519</v>
      </c>
      <c r="K354" s="656">
        <v>0.37348086528284857</v>
      </c>
      <c r="N354" s="655">
        <v>0.40747265390105158</v>
      </c>
      <c r="O354" s="656">
        <v>0.38665892280121666</v>
      </c>
      <c r="R354" s="655">
        <v>0.43391600704335676</v>
      </c>
      <c r="S354" s="656">
        <v>0.39751311257570104</v>
      </c>
      <c r="V354" s="655">
        <v>0.45832135899999998</v>
      </c>
      <c r="W354" s="656">
        <v>0.404390215</v>
      </c>
      <c r="Z354" s="655">
        <v>0.34477813346474251</v>
      </c>
      <c r="AA354" s="656">
        <v>0.3516107111795419</v>
      </c>
      <c r="AC354" s="655">
        <v>0.38146556227609352</v>
      </c>
      <c r="AD354" s="656">
        <v>0.37550477177459379</v>
      </c>
      <c r="AG354" s="655">
        <v>0.31336569498515532</v>
      </c>
      <c r="AH354" s="656">
        <v>0.31913325831582545</v>
      </c>
      <c r="AK354" s="657">
        <v>0.31250845541760508</v>
      </c>
      <c r="AL354" s="658">
        <v>0.32094022824469154</v>
      </c>
      <c r="AM354" s="646"/>
    </row>
    <row r="355" spans="2:39">
      <c r="B355" s="655">
        <v>0.3124994605030722</v>
      </c>
      <c r="C355" s="656">
        <v>0.32391398099791796</v>
      </c>
      <c r="F355" s="655">
        <v>0.34498693499999999</v>
      </c>
      <c r="G355" s="656">
        <v>0.34982392099999998</v>
      </c>
      <c r="J355" s="655">
        <v>0.38163327773390604</v>
      </c>
      <c r="K355" s="656">
        <v>0.37357052838713267</v>
      </c>
      <c r="N355" s="655">
        <v>0.40758817526468955</v>
      </c>
      <c r="O355" s="656">
        <v>0.38674712578363973</v>
      </c>
      <c r="R355" s="655">
        <v>0.43402022060030221</v>
      </c>
      <c r="S355" s="656">
        <v>0.39758843928417265</v>
      </c>
      <c r="V355" s="655">
        <v>0.45841536900000002</v>
      </c>
      <c r="W355" s="656">
        <v>0.40446523499999998</v>
      </c>
      <c r="Z355" s="655">
        <v>0.34483812263454894</v>
      </c>
      <c r="AA355" s="656">
        <v>0.35166691127857974</v>
      </c>
      <c r="AC355" s="655">
        <v>0.38153992046030155</v>
      </c>
      <c r="AD355" s="656">
        <v>0.37556204408418448</v>
      </c>
      <c r="AG355" s="655">
        <v>0.31352107915121746</v>
      </c>
      <c r="AH355" s="656">
        <v>0.31926490117128337</v>
      </c>
      <c r="AK355" s="657">
        <v>0.31263243417178699</v>
      </c>
      <c r="AL355" s="658">
        <v>0.32105663499652998</v>
      </c>
      <c r="AM355" s="646"/>
    </row>
    <row r="356" spans="2:39">
      <c r="B356" s="655">
        <v>0.31257378699797989</v>
      </c>
      <c r="C356" s="656">
        <v>0.32398513061192868</v>
      </c>
      <c r="F356" s="655">
        <v>0.34507664700000001</v>
      </c>
      <c r="G356" s="656">
        <v>0.34991312200000002</v>
      </c>
      <c r="J356" s="655">
        <v>0.3817450694521442</v>
      </c>
      <c r="K356" s="656">
        <v>0.37366202812687882</v>
      </c>
      <c r="N356" s="655">
        <v>0.40770376115219387</v>
      </c>
      <c r="O356" s="656">
        <v>0.38683720299115332</v>
      </c>
      <c r="R356" s="655">
        <v>0.43412439753688814</v>
      </c>
      <c r="S356" s="656">
        <v>0.39766547532839874</v>
      </c>
      <c r="V356" s="655">
        <v>0.45850916000000003</v>
      </c>
      <c r="W356" s="656">
        <v>0.40454187899999999</v>
      </c>
      <c r="Z356" s="655">
        <v>0.34489806973086284</v>
      </c>
      <c r="AA356" s="656">
        <v>0.35172421805163662</v>
      </c>
      <c r="AC356" s="655">
        <v>0.38161435786725678</v>
      </c>
      <c r="AD356" s="656">
        <v>0.37562057685523237</v>
      </c>
      <c r="AG356" s="655">
        <v>0.31367609136474128</v>
      </c>
      <c r="AH356" s="656">
        <v>0.3193992657444007</v>
      </c>
      <c r="AK356" s="657">
        <v>0.31275631166329976</v>
      </c>
      <c r="AL356" s="658">
        <v>0.32117521768654783</v>
      </c>
      <c r="AM356" s="646"/>
    </row>
    <row r="357" spans="2:39">
      <c r="B357" s="655">
        <v>0.31264803009471576</v>
      </c>
      <c r="C357" s="656">
        <v>0.32405756411598535</v>
      </c>
      <c r="F357" s="655">
        <v>0.34516621400000003</v>
      </c>
      <c r="G357" s="656">
        <v>0.35000390300000001</v>
      </c>
      <c r="J357" s="655">
        <v>0.38185687790275941</v>
      </c>
      <c r="K357" s="656">
        <v>0.37375533663038002</v>
      </c>
      <c r="N357" s="655">
        <v>0.4078193763549835</v>
      </c>
      <c r="O357" s="656">
        <v>0.38692912698536747</v>
      </c>
      <c r="R357" s="655">
        <v>0.43422850611981056</v>
      </c>
      <c r="S357" s="656">
        <v>0.39774419724245397</v>
      </c>
      <c r="V357" s="655">
        <v>0.458602705</v>
      </c>
      <c r="W357" s="656">
        <v>0.40462012600000002</v>
      </c>
      <c r="Z357" s="655">
        <v>0.34495795649321803</v>
      </c>
      <c r="AA357" s="656">
        <v>0.35178261404251432</v>
      </c>
      <c r="AC357" s="655">
        <v>0.38168885182260404</v>
      </c>
      <c r="AD357" s="656">
        <v>0.37568035225808843</v>
      </c>
      <c r="AG357" s="655">
        <v>0.31383068440750495</v>
      </c>
      <c r="AH357" s="656">
        <v>0.31953631110642694</v>
      </c>
      <c r="AK357" s="657">
        <v>0.31288005015785958</v>
      </c>
      <c r="AL357" s="658">
        <v>0.32129594019330893</v>
      </c>
      <c r="AM357" s="646"/>
    </row>
    <row r="358" spans="2:39">
      <c r="B358" s="655">
        <v>0.3127221671781133</v>
      </c>
      <c r="C358" s="656">
        <v>0.32413125944614096</v>
      </c>
      <c r="F358" s="655">
        <v>0.34525560900000002</v>
      </c>
      <c r="G358" s="656">
        <v>0.35009623699999998</v>
      </c>
      <c r="J358" s="655">
        <v>0.3819686690278144</v>
      </c>
      <c r="K358" s="656">
        <v>0.37385042547496206</v>
      </c>
      <c r="N358" s="655">
        <v>0.40793498565554775</v>
      </c>
      <c r="O358" s="656">
        <v>0.387022869765343</v>
      </c>
      <c r="R358" s="655">
        <v>0.43433251463658662</v>
      </c>
      <c r="S358" s="656">
        <v>0.39782458104688068</v>
      </c>
      <c r="V358" s="655">
        <v>0.45869597600000001</v>
      </c>
      <c r="W358" s="656">
        <v>0.40469994999999997</v>
      </c>
      <c r="Z358" s="655">
        <v>0.34501776467952644</v>
      </c>
      <c r="AA358" s="656">
        <v>0.35184208146322837</v>
      </c>
      <c r="AC358" s="655">
        <v>0.38176337963476281</v>
      </c>
      <c r="AD358" s="656">
        <v>0.37574135208458587</v>
      </c>
      <c r="AG358" s="655">
        <v>0.31398481118896998</v>
      </c>
      <c r="AH358" s="656">
        <v>0.3196759955120172</v>
      </c>
      <c r="AK358" s="657">
        <v>0.31300361196352222</v>
      </c>
      <c r="AL358" s="658">
        <v>0.32141876574356826</v>
      </c>
      <c r="AM358" s="646"/>
    </row>
    <row r="359" spans="2:39">
      <c r="B359" s="655">
        <v>0.31279617566529883</v>
      </c>
      <c r="C359" s="656">
        <v>0.32420619415408403</v>
      </c>
      <c r="F359" s="655">
        <v>0.34534480400000001</v>
      </c>
      <c r="G359" s="656">
        <v>0.35019009400000001</v>
      </c>
      <c r="J359" s="655">
        <v>0.3820804087746496</v>
      </c>
      <c r="K359" s="656">
        <v>0.37394726569564185</v>
      </c>
      <c r="N359" s="655">
        <v>0.40805055383817362</v>
      </c>
      <c r="O359" s="656">
        <v>0.38711840277612103</v>
      </c>
      <c r="R359" s="655">
        <v>0.43443639140521445</v>
      </c>
      <c r="S359" s="656">
        <v>0.39790660225599334</v>
      </c>
      <c r="V359" s="655">
        <v>0.45878894199999998</v>
      </c>
      <c r="W359" s="656">
        <v>0.404781328</v>
      </c>
      <c r="Z359" s="655">
        <v>0.34507747607163525</v>
      </c>
      <c r="AA359" s="656">
        <v>0.35190260219942632</v>
      </c>
      <c r="AC359" s="655">
        <v>0.38183791860183958</v>
      </c>
      <c r="AD359" s="656">
        <v>0.37580355775358665</v>
      </c>
      <c r="AG359" s="655">
        <v>0.3141384247606257</v>
      </c>
      <c r="AH359" s="656">
        <v>0.31981827641194838</v>
      </c>
      <c r="AK359" s="657">
        <v>0.31312695944216468</v>
      </c>
      <c r="AL359" s="658">
        <v>0.32154365692347342</v>
      </c>
      <c r="AM359" s="646"/>
    </row>
    <row r="360" spans="2:39">
      <c r="B360" s="655">
        <v>0.3128700330125701</v>
      </c>
      <c r="C360" s="656">
        <v>0.32428234541397666</v>
      </c>
      <c r="F360" s="655">
        <v>0.34543377199999997</v>
      </c>
      <c r="G360" s="656">
        <v>0.350285448</v>
      </c>
      <c r="J360" s="655">
        <v>0.3821920631062557</v>
      </c>
      <c r="K360" s="656">
        <v>0.37404582779395001</v>
      </c>
      <c r="N360" s="655">
        <v>0.40816604569967324</v>
      </c>
      <c r="O360" s="656">
        <v>0.38721569691742108</v>
      </c>
      <c r="R360" s="655">
        <v>0.43454010478382415</v>
      </c>
      <c r="S360" s="656">
        <v>0.39799023588533711</v>
      </c>
      <c r="V360" s="655">
        <v>0.45888157699999998</v>
      </c>
      <c r="W360" s="656">
        <v>0.40486423399999999</v>
      </c>
      <c r="Z360" s="655">
        <v>0.34513707248087594</v>
      </c>
      <c r="AA360" s="656">
        <v>0.35196415781590568</v>
      </c>
      <c r="AC360" s="655">
        <v>0.38191244601854291</v>
      </c>
      <c r="AD360" s="656">
        <v>0.37586695031664136</v>
      </c>
      <c r="AG360" s="655">
        <v>0.31429147833029014</v>
      </c>
      <c r="AH360" s="656">
        <v>0.31996311046608006</v>
      </c>
      <c r="AK360" s="657">
        <v>0.31325005502095016</v>
      </c>
      <c r="AL360" s="658">
        <v>0.32167057568996116</v>
      </c>
      <c r="AM360" s="646"/>
    </row>
    <row r="361" spans="2:39">
      <c r="B361" s="655">
        <v>0.31294371672226373</v>
      </c>
      <c r="C361" s="656">
        <v>0.3243596900294074</v>
      </c>
      <c r="F361" s="655">
        <v>0.34552248600000002</v>
      </c>
      <c r="G361" s="656">
        <v>0.35038226700000003</v>
      </c>
      <c r="J361" s="655">
        <v>0.3823035980116416</v>
      </c>
      <c r="K361" s="656">
        <v>0.3741460817469166</v>
      </c>
      <c r="N361" s="655">
        <v>0.40828142606010681</v>
      </c>
      <c r="O361" s="656">
        <v>0.3873147225525051</v>
      </c>
      <c r="R361" s="655">
        <v>0.43464362318031585</v>
      </c>
      <c r="S361" s="656">
        <v>0.39807545645929837</v>
      </c>
      <c r="V361" s="655">
        <v>0.45897385299999999</v>
      </c>
      <c r="W361" s="656">
        <v>0.40494864400000002</v>
      </c>
      <c r="Z361" s="655">
        <v>0.34519653575360493</v>
      </c>
      <c r="AA361" s="656">
        <v>0.35202672956222936</v>
      </c>
      <c r="AC361" s="655">
        <v>0.38198693918309973</v>
      </c>
      <c r="AD361" s="656">
        <v>0.37593151046376122</v>
      </c>
      <c r="AG361" s="655">
        <v>0.31444392527636328</v>
      </c>
      <c r="AH361" s="656">
        <v>0.32011045355655626</v>
      </c>
      <c r="AK361" s="657">
        <v>0.31337286120377289</v>
      </c>
      <c r="AL361" s="658">
        <v>0.32179948338234565</v>
      </c>
      <c r="AM361" s="646"/>
    </row>
    <row r="362" spans="2:39">
      <c r="B362" s="655">
        <v>0.31301720434960795</v>
      </c>
      <c r="C362" s="656">
        <v>0.32443820444045701</v>
      </c>
      <c r="F362" s="655">
        <v>0.34561091900000002</v>
      </c>
      <c r="G362" s="656">
        <v>0.35048052400000002</v>
      </c>
      <c r="J362" s="655">
        <v>0.38241497951619469</v>
      </c>
      <c r="K362" s="656">
        <v>0.37424799701621636</v>
      </c>
      <c r="N362" s="655">
        <v>0.40839665977349876</v>
      </c>
      <c r="O362" s="656">
        <v>0.38741544951720552</v>
      </c>
      <c r="R362" s="655">
        <v>0.43474691506198315</v>
      </c>
      <c r="S362" s="656">
        <v>0.39816223801886469</v>
      </c>
      <c r="V362" s="655">
        <v>0.45906574</v>
      </c>
      <c r="W362" s="656">
        <v>0.405034532</v>
      </c>
      <c r="Z362" s="655">
        <v>0.34525584777673335</v>
      </c>
      <c r="AA362" s="656">
        <v>0.35209029837843719</v>
      </c>
      <c r="AC362" s="655">
        <v>0.38206137540417046</v>
      </c>
      <c r="AD362" s="656">
        <v>0.37599721852930001</v>
      </c>
      <c r="AG362" s="655">
        <v>0.31459571916202861</v>
      </c>
      <c r="AH362" s="656">
        <v>0.32026026080124442</v>
      </c>
      <c r="AK362" s="657">
        <v>0.31349534058267986</v>
      </c>
      <c r="AL362" s="658">
        <v>0.32193034073409504</v>
      </c>
      <c r="AM362" s="646"/>
    </row>
    <row r="363" spans="2:39">
      <c r="B363" s="655">
        <v>0.31309047350955954</v>
      </c>
      <c r="C363" s="656">
        <v>0.32451786473087546</v>
      </c>
      <c r="F363" s="655">
        <v>0.34569904400000001</v>
      </c>
      <c r="G363" s="656">
        <v>0.35058018800000001</v>
      </c>
      <c r="J363" s="655">
        <v>0.38252617369202968</v>
      </c>
      <c r="K363" s="656">
        <v>0.374351542557471</v>
      </c>
      <c r="N363" s="655">
        <v>0.40851171173854378</v>
      </c>
      <c r="O363" s="656">
        <v>0.38751784712911297</v>
      </c>
      <c r="R363" s="655">
        <v>0.43484994896511836</v>
      </c>
      <c r="S363" s="656">
        <v>0.39825055412953231</v>
      </c>
      <c r="V363" s="655">
        <v>0.45915721100000001</v>
      </c>
      <c r="W363" s="656">
        <v>0.40512187100000002</v>
      </c>
      <c r="Z363" s="655">
        <v>0.34531499048324432</v>
      </c>
      <c r="AA363" s="656">
        <v>0.35215484490085208</v>
      </c>
      <c r="AC363" s="655">
        <v>0.38213573200776108</v>
      </c>
      <c r="AD363" s="656">
        <v>0.37606405449794439</v>
      </c>
      <c r="AG363" s="655">
        <v>0.314746813749398</v>
      </c>
      <c r="AH363" s="656">
        <v>0.32041248656740645</v>
      </c>
      <c r="AK363" s="657">
        <v>0.31361745584926587</v>
      </c>
      <c r="AL363" s="658">
        <v>0.32206310788479242</v>
      </c>
      <c r="AM363" s="646"/>
    </row>
    <row r="364" spans="2:39">
      <c r="B364" s="655">
        <v>0.31316350188362263</v>
      </c>
      <c r="C364" s="656">
        <v>0.32459864663536653</v>
      </c>
      <c r="F364" s="655">
        <v>0.34578683399999999</v>
      </c>
      <c r="G364" s="656">
        <v>0.35068122899999998</v>
      </c>
      <c r="J364" s="655">
        <v>0.38263714666832355</v>
      </c>
      <c r="K364" s="656">
        <v>0.37445668682970562</v>
      </c>
      <c r="N364" s="655">
        <v>0.40862654690929867</v>
      </c>
      <c r="O364" s="656">
        <v>0.38762188419692301</v>
      </c>
      <c r="R364" s="655">
        <v>0.43495269350459648</v>
      </c>
      <c r="S364" s="656">
        <v>0.3983403778893585</v>
      </c>
      <c r="V364" s="655">
        <v>0.45924823799999998</v>
      </c>
      <c r="W364" s="656">
        <v>0.40521063499999999</v>
      </c>
      <c r="Z364" s="655">
        <v>0.34537394585769654</v>
      </c>
      <c r="AA364" s="656">
        <v>0.35222034946797798</v>
      </c>
      <c r="AC364" s="655">
        <v>0.38220998634412978</v>
      </c>
      <c r="AD364" s="656">
        <v>0.37613199801081088</v>
      </c>
      <c r="AG364" s="655">
        <v>0.31489716301359655</v>
      </c>
      <c r="AH364" s="656">
        <v>0.3205670844855994</v>
      </c>
      <c r="AK364" s="657">
        <v>0.31373916980603767</v>
      </c>
      <c r="AL364" s="658">
        <v>0.32219774439227755</v>
      </c>
      <c r="AM364" s="646"/>
    </row>
    <row r="365" spans="2:39">
      <c r="B365" s="655">
        <v>0.31323626722664699</v>
      </c>
      <c r="C365" s="656">
        <v>0.32468052554697951</v>
      </c>
      <c r="F365" s="655">
        <v>0.34587426300000002</v>
      </c>
      <c r="G365" s="656">
        <v>0.35078361600000002</v>
      </c>
      <c r="J365" s="655">
        <v>0.38274786464163257</v>
      </c>
      <c r="K365" s="656">
        <v>0.37456339780495629</v>
      </c>
      <c r="N365" s="655">
        <v>0.40874113030585807</v>
      </c>
      <c r="O365" s="656">
        <v>0.38772752902993685</v>
      </c>
      <c r="R365" s="655">
        <v>0.43505511738343533</v>
      </c>
      <c r="S365" s="656">
        <v>0.39843168193715578</v>
      </c>
      <c r="V365" s="655">
        <v>0.45933879399999999</v>
      </c>
      <c r="W365" s="656">
        <v>0.40530079699999999</v>
      </c>
      <c r="Z365" s="655">
        <v>0.34543269594171189</v>
      </c>
      <c r="AA365" s="656">
        <v>0.35228679212648917</v>
      </c>
      <c r="AC365" s="655">
        <v>0.38228411579468646</v>
      </c>
      <c r="AD365" s="656">
        <v>0.37620102837164732</v>
      </c>
      <c r="AG365" s="655">
        <v>0.31504672115678184</v>
      </c>
      <c r="AH365" s="656">
        <v>0.32072400746379975</v>
      </c>
      <c r="AK365" s="657">
        <v>0.31386044537774499</v>
      </c>
      <c r="AL365" s="658">
        <v>0.32233420924496586</v>
      </c>
      <c r="AM365" s="646"/>
    </row>
    <row r="366" spans="2:39">
      <c r="B366" s="655">
        <v>0.31330874737360437</v>
      </c>
      <c r="C366" s="656">
        <v>0.32476347652460485</v>
      </c>
      <c r="F366" s="655">
        <v>0.34596130400000003</v>
      </c>
      <c r="G366" s="656">
        <v>0.35088731699999998</v>
      </c>
      <c r="J366" s="655">
        <v>0.38285829388618958</v>
      </c>
      <c r="K366" s="656">
        <v>0.37467164297802619</v>
      </c>
      <c r="N366" s="655">
        <v>0.40885542702500938</v>
      </c>
      <c r="O366" s="656">
        <v>0.38783474944771512</v>
      </c>
      <c r="R366" s="655">
        <v>0.43515718940232939</v>
      </c>
      <c r="S366" s="656">
        <v>0.39852443846082669</v>
      </c>
      <c r="V366" s="655">
        <v>0.45942885</v>
      </c>
      <c r="W366" s="656">
        <v>0.40539233000000002</v>
      </c>
      <c r="Z366" s="655">
        <v>0.34549122283944556</v>
      </c>
      <c r="AA366" s="656">
        <v>0.35235415263730824</v>
      </c>
      <c r="AC366" s="655">
        <v>0.38235809777888236</v>
      </c>
      <c r="AD366" s="656">
        <v>0.37627112455313705</v>
      </c>
      <c r="AG366" s="655">
        <v>0.3151954426220947</v>
      </c>
      <c r="AH366" s="656">
        <v>0.32088320770174816</v>
      </c>
      <c r="AK366" s="657">
        <v>0.31398124562267393</v>
      </c>
      <c r="AL366" s="658">
        <v>0.32247246087434139</v>
      </c>
      <c r="AM366" s="646"/>
    </row>
    <row r="367" spans="2:39">
      <c r="B367" s="655">
        <v>0.31338092024633973</v>
      </c>
      <c r="C367" s="656">
        <v>0.32484747430057109</v>
      </c>
      <c r="F367" s="655">
        <v>0.34604793</v>
      </c>
      <c r="G367" s="656">
        <v>0.35099230199999998</v>
      </c>
      <c r="J367" s="655">
        <v>0.38296840076417693</v>
      </c>
      <c r="K367" s="656">
        <v>0.37478138937638711</v>
      </c>
      <c r="N367" s="655">
        <v>0.4089694022508647</v>
      </c>
      <c r="O367" s="656">
        <v>0.38794351278987976</v>
      </c>
      <c r="R367" s="655">
        <v>0.43525887846915279</v>
      </c>
      <c r="S367" s="656">
        <v>0.39861861920583569</v>
      </c>
      <c r="V367" s="655">
        <v>0.45951838</v>
      </c>
      <c r="W367" s="656">
        <v>0.40548520500000002</v>
      </c>
      <c r="Z367" s="655">
        <v>0.34554950872303763</v>
      </c>
      <c r="AA367" s="656">
        <v>0.35242241048177103</v>
      </c>
      <c r="AC367" s="655">
        <v>0.38243190976108837</v>
      </c>
      <c r="AD367" s="656">
        <v>0.37634226520330416</v>
      </c>
      <c r="AG367" s="655">
        <v>0.31534328210753609</v>
      </c>
      <c r="AH367" s="656">
        <v>0.32104463670551003</v>
      </c>
      <c r="AK367" s="657">
        <v>0.3141015337438996</v>
      </c>
      <c r="AL367" s="658">
        <v>0.32261245716761849</v>
      </c>
      <c r="AM367" s="646"/>
    </row>
    <row r="368" spans="2:39">
      <c r="B368" s="655">
        <v>0.31345276386029702</v>
      </c>
      <c r="C368" s="656">
        <v>0.32493249328834206</v>
      </c>
      <c r="F368" s="655">
        <v>0.34613411500000002</v>
      </c>
      <c r="G368" s="656">
        <v>0.35109853800000002</v>
      </c>
      <c r="J368" s="655">
        <v>0.38307815173597298</v>
      </c>
      <c r="K368" s="656">
        <v>0.37489260357022286</v>
      </c>
      <c r="N368" s="655">
        <v>0.40908302126546614</v>
      </c>
      <c r="O368" s="656">
        <v>0.38805378592606316</v>
      </c>
      <c r="R368" s="655">
        <v>0.43536015360843078</v>
      </c>
      <c r="S368" s="656">
        <v>0.39871419548381537</v>
      </c>
      <c r="V368" s="655">
        <v>0.45960735600000002</v>
      </c>
      <c r="W368" s="656">
        <v>0.40557939500000001</v>
      </c>
      <c r="Z368" s="655">
        <v>0.34560753583804327</v>
      </c>
      <c r="AA368" s="656">
        <v>0.35249154486787693</v>
      </c>
      <c r="AC368" s="655">
        <v>0.38250552925745973</v>
      </c>
      <c r="AD368" s="656">
        <v>0.37641442865201746</v>
      </c>
      <c r="AG368" s="655">
        <v>0.31549019457976657</v>
      </c>
      <c r="AH368" s="656">
        <v>0.3212082453022469</v>
      </c>
      <c r="AK368" s="657">
        <v>0.31422127310049502</v>
      </c>
      <c r="AL368" s="658">
        <v>0.32275415548057013</v>
      </c>
      <c r="AM368" s="646"/>
    </row>
    <row r="369" spans="2:39">
      <c r="B369" s="655">
        <v>0.31352425633121533</v>
      </c>
      <c r="C369" s="656">
        <v>0.32501850759031042</v>
      </c>
      <c r="F369" s="655">
        <v>0.34621983200000001</v>
      </c>
      <c r="G369" s="656">
        <v>0.35120599299999999</v>
      </c>
      <c r="J369" s="655">
        <v>0.38318751337036849</v>
      </c>
      <c r="K369" s="656">
        <v>0.37500525168261273</v>
      </c>
      <c r="N369" s="655">
        <v>0.40919624945936128</v>
      </c>
      <c r="O369" s="656">
        <v>0.38816553526599978</v>
      </c>
      <c r="R369" s="655">
        <v>0.43546098397077476</v>
      </c>
      <c r="S369" s="656">
        <v>0.3988111381813057</v>
      </c>
      <c r="V369" s="655">
        <v>0.45969575099999999</v>
      </c>
      <c r="W369" s="656">
        <v>0.40567487099999999</v>
      </c>
      <c r="Z369" s="655">
        <v>0.34566528650884115</v>
      </c>
      <c r="AA369" s="656">
        <v>0.35256153473662216</v>
      </c>
      <c r="AC369" s="655">
        <v>0.38257893384278463</v>
      </c>
      <c r="AD369" s="656">
        <v>0.37648759291759137</v>
      </c>
      <c r="AG369" s="655">
        <v>0.31563613528782397</v>
      </c>
      <c r="AH369" s="656">
        <v>0.32137398365519543</v>
      </c>
      <c r="AK369" s="657">
        <v>0.31434042721869221</v>
      </c>
      <c r="AL369" s="658">
        <v>0.32289751265051742</v>
      </c>
      <c r="AM369" s="646"/>
    </row>
    <row r="370" spans="2:39">
      <c r="B370" s="655">
        <v>0.31359537588179554</v>
      </c>
      <c r="C370" s="656">
        <v>0.32510549100568664</v>
      </c>
      <c r="F370" s="655">
        <v>0.34630505700000003</v>
      </c>
      <c r="G370" s="656">
        <v>0.35131463400000001</v>
      </c>
      <c r="J370" s="655">
        <v>0.38329645235475029</v>
      </c>
      <c r="K370" s="656">
        <v>0.37511929939985034</v>
      </c>
      <c r="N370" s="655">
        <v>0.40930905234214526</v>
      </c>
      <c r="O370" s="656">
        <v>0.38827872676975822</v>
      </c>
      <c r="R370" s="655">
        <v>0.43556133884227966</v>
      </c>
      <c r="S370" s="656">
        <v>0.39890941776862182</v>
      </c>
      <c r="V370" s="655">
        <v>0.45978353799999999</v>
      </c>
      <c r="W370" s="656">
        <v>0.40577160200000001</v>
      </c>
      <c r="Z370" s="655">
        <v>0.34572274314401746</v>
      </c>
      <c r="AA370" s="656">
        <v>0.35263235876841476</v>
      </c>
      <c r="AC370" s="655">
        <v>0.38265210115731529</v>
      </c>
      <c r="AD370" s="656">
        <v>0.37656173571348189</v>
      </c>
      <c r="AG370" s="655">
        <v>0.3157810597767548</v>
      </c>
      <c r="AH370" s="656">
        <v>0.32154180127884763</v>
      </c>
      <c r="AK370" s="657">
        <v>0.31445895980299254</v>
      </c>
      <c r="AL370" s="658">
        <v>0.32304248500947774</v>
      </c>
      <c r="AM370" s="646"/>
    </row>
    <row r="371" spans="2:39">
      <c r="B371" s="655">
        <v>0.31366610084833357</v>
      </c>
      <c r="C371" s="656">
        <v>0.32519341703847965</v>
      </c>
      <c r="F371" s="655">
        <v>0.34638976100000002</v>
      </c>
      <c r="G371" s="656">
        <v>0.35142442800000001</v>
      </c>
      <c r="J371" s="655">
        <v>0.38340493550524835</v>
      </c>
      <c r="K371" s="656">
        <v>0.37523471198189634</v>
      </c>
      <c r="N371" s="655">
        <v>0.40942139555296736</v>
      </c>
      <c r="O371" s="656">
        <v>0.38839332595810988</v>
      </c>
      <c r="R371" s="655">
        <v>0.43566118765387946</v>
      </c>
      <c r="S371" s="656">
        <v>0.39900900430884945</v>
      </c>
      <c r="V371" s="655">
        <v>0.45987069000000003</v>
      </c>
      <c r="W371" s="656">
        <v>0.40586956099999999</v>
      </c>
      <c r="Z371" s="655">
        <v>0.34577988824172462</v>
      </c>
      <c r="AA371" s="656">
        <v>0.35270399538956854</v>
      </c>
      <c r="AC371" s="655">
        <v>0.38272500891357902</v>
      </c>
      <c r="AD371" s="656">
        <v>0.37663683445507512</v>
      </c>
      <c r="AG371" s="655">
        <v>0.3159249239011559</v>
      </c>
      <c r="AH371" s="656">
        <v>0.32171164705432975</v>
      </c>
      <c r="AK371" s="657">
        <v>0.31457683474722259</v>
      </c>
      <c r="AL371" s="658">
        <v>0.3231890283974661</v>
      </c>
      <c r="AM371" s="646"/>
    </row>
    <row r="372" spans="2:39">
      <c r="B372" s="655">
        <v>0.31373640968731947</v>
      </c>
      <c r="C372" s="656">
        <v>0.32528225890556817</v>
      </c>
      <c r="F372" s="655">
        <v>0.34647392100000002</v>
      </c>
      <c r="G372" s="656">
        <v>0.35153534199999997</v>
      </c>
      <c r="J372" s="655">
        <v>0.38351292977684415</v>
      </c>
      <c r="K372" s="656">
        <v>0.37535145427296013</v>
      </c>
      <c r="N372" s="655">
        <v>0.40953324487099718</v>
      </c>
      <c r="O372" s="656">
        <v>0.38850929792303179</v>
      </c>
      <c r="R372" s="655">
        <v>0.43576049999065891</v>
      </c>
      <c r="S372" s="656">
        <v>0.39910986746696364</v>
      </c>
      <c r="V372" s="655">
        <v>0.45995718099999999</v>
      </c>
      <c r="W372" s="656">
        <v>0.40596871800000001</v>
      </c>
      <c r="Z372" s="655">
        <v>0.34583670439501224</v>
      </c>
      <c r="AA372" s="656">
        <v>0.35277642277887467</v>
      </c>
      <c r="AC372" s="655">
        <v>0.38279763490316687</v>
      </c>
      <c r="AD372" s="656">
        <v>0.37671286626656691</v>
      </c>
      <c r="AG372" s="655">
        <v>0.31606768383862122</v>
      </c>
      <c r="AH372" s="656">
        <v>0.32188346924497319</v>
      </c>
      <c r="AK372" s="657">
        <v>0.31469401614553244</v>
      </c>
      <c r="AL372" s="658">
        <v>0.32333709817594697</v>
      </c>
      <c r="AM372" s="646"/>
    </row>
    <row r="373" spans="2:39">
      <c r="B373" s="655">
        <v>0.31380628098199981</v>
      </c>
      <c r="C373" s="656">
        <v>0.32537198954485891</v>
      </c>
      <c r="F373" s="655">
        <v>0.34655751000000001</v>
      </c>
      <c r="G373" s="656">
        <v>0.35164734199999997</v>
      </c>
      <c r="J373" s="655">
        <v>0.38362040227343641</v>
      </c>
      <c r="K373" s="656">
        <v>0.37546949071220898</v>
      </c>
      <c r="N373" s="655">
        <v>0.40964456622584894</v>
      </c>
      <c r="O373" s="656">
        <v>0.38862660733834004</v>
      </c>
      <c r="R373" s="655">
        <v>0.43585924560111811</v>
      </c>
      <c r="S373" s="656">
        <v>0.39921197651906942</v>
      </c>
      <c r="V373" s="655">
        <v>0.46004298500000002</v>
      </c>
      <c r="W373" s="656">
        <v>0.40606904100000002</v>
      </c>
      <c r="Z373" s="655">
        <v>0.34589317429712957</v>
      </c>
      <c r="AA373" s="656">
        <v>0.35284961887424882</v>
      </c>
      <c r="AC373" s="655">
        <v>0.38286995700349891</v>
      </c>
      <c r="AD373" s="656">
        <v>0.37678980798793088</v>
      </c>
      <c r="AG373" s="655">
        <v>0.31620929610309095</v>
      </c>
      <c r="AH373" s="656">
        <v>0.32205721551207422</v>
      </c>
      <c r="AK373" s="657">
        <v>0.31481046830333298</v>
      </c>
      <c r="AL373" s="658">
        <v>0.3234866492414315</v>
      </c>
      <c r="AM373" s="646"/>
    </row>
    <row r="374" spans="2:39">
      <c r="B374" s="655">
        <v>0.31387569344890132</v>
      </c>
      <c r="C374" s="656">
        <v>0.32546258162352976</v>
      </c>
      <c r="F374" s="655">
        <v>0.34664050299999999</v>
      </c>
      <c r="G374" s="656">
        <v>0.351760393</v>
      </c>
      <c r="J374" s="655">
        <v>0.38372732025786149</v>
      </c>
      <c r="K374" s="656">
        <v>0.3755887853446</v>
      </c>
      <c r="N374" s="655">
        <v>0.40975532570795964</v>
      </c>
      <c r="O374" s="656">
        <v>0.38874521847045035</v>
      </c>
      <c r="R374" s="655">
        <v>0.43595739440638759</v>
      </c>
      <c r="S374" s="656">
        <v>0.39931530036176038</v>
      </c>
      <c r="V374" s="655">
        <v>0.46012807500000003</v>
      </c>
      <c r="W374" s="656">
        <v>0.40617050100000002</v>
      </c>
      <c r="Z374" s="655">
        <v>0.34594928074679754</v>
      </c>
      <c r="AA374" s="656">
        <v>0.35292356137945119</v>
      </c>
      <c r="AC374" s="655">
        <v>0.38294195318456276</v>
      </c>
      <c r="AD374" s="656">
        <v>0.37686763618197339</v>
      </c>
      <c r="AG374" s="655">
        <v>0.31634971755809749</v>
      </c>
      <c r="AH374" s="656">
        <v>0.32223283293083677</v>
      </c>
      <c r="AK374" s="657">
        <v>0.31492615574816885</v>
      </c>
      <c r="AL374" s="658">
        <v>0.32363763603921625</v>
      </c>
      <c r="AM374" s="646"/>
    </row>
    <row r="375" spans="2:39">
      <c r="B375" s="655">
        <v>0.31394462594431427</v>
      </c>
      <c r="C375" s="656">
        <v>0.32555400754635605</v>
      </c>
      <c r="F375" s="655">
        <v>0.34672287400000001</v>
      </c>
      <c r="G375" s="656">
        <v>0.351874462</v>
      </c>
      <c r="J375" s="655">
        <v>0.38383365116186574</v>
      </c>
      <c r="K375" s="656">
        <v>0.3757093018318326</v>
      </c>
      <c r="N375" s="655">
        <v>0.40986548957891805</v>
      </c>
      <c r="O375" s="656">
        <v>0.38886509518926282</v>
      </c>
      <c r="R375" s="655">
        <v>0.43605491650939043</v>
      </c>
      <c r="S375" s="656">
        <v>0.39941980752159301</v>
      </c>
      <c r="V375" s="655">
        <v>0.46021242499999998</v>
      </c>
      <c r="W375" s="656">
        <v>0.40627306600000002</v>
      </c>
      <c r="Z375" s="655">
        <v>0.34600500665344791</v>
      </c>
      <c r="AA375" s="656">
        <v>0.35299822777087853</v>
      </c>
      <c r="AC375" s="655">
        <v>0.38301360151562425</v>
      </c>
      <c r="AD375" s="656">
        <v>0.37694632714147264</v>
      </c>
      <c r="AG375" s="655">
        <v>0.31648890542990532</v>
      </c>
      <c r="AH375" s="656">
        <v>0.32241026800649381</v>
      </c>
      <c r="AK375" s="657">
        <v>0.31504104324052373</v>
      </c>
      <c r="AL375" s="658">
        <v>0.32379001257726014</v>
      </c>
      <c r="AM375" s="646"/>
    </row>
    <row r="376" spans="2:39">
      <c r="B376" s="655">
        <v>0.31401305747073266</v>
      </c>
      <c r="C376" s="656">
        <v>0.32564623946411608</v>
      </c>
      <c r="F376" s="655">
        <v>0.34680459800000002</v>
      </c>
      <c r="G376" s="656">
        <v>0.35198951299999998</v>
      </c>
      <c r="J376" s="655">
        <v>0.38393936259602562</v>
      </c>
      <c r="K376" s="656">
        <v>0.37583100346341725</v>
      </c>
      <c r="N376" s="655">
        <v>0.40997502428174182</v>
      </c>
      <c r="O376" s="656">
        <v>0.38898620097916758</v>
      </c>
      <c r="R376" s="655">
        <v>0.4361517822039494</v>
      </c>
      <c r="S376" s="656">
        <v>0.39952546616467416</v>
      </c>
      <c r="V376" s="655">
        <v>0.46029600999999998</v>
      </c>
      <c r="W376" s="656">
        <v>0.40637670599999998</v>
      </c>
      <c r="Z376" s="655">
        <v>0.34606033504242978</v>
      </c>
      <c r="AA376" s="656">
        <v>0.35307359530442461</v>
      </c>
      <c r="AC376" s="655">
        <v>0.38308488017190767</v>
      </c>
      <c r="AD376" s="656">
        <v>0.3770258568964</v>
      </c>
      <c r="AG376" s="655">
        <v>0.31662681732054038</v>
      </c>
      <c r="AH376" s="656">
        <v>0.32258946669060251</v>
      </c>
      <c r="AK376" s="657">
        <v>0.31515509578455447</v>
      </c>
      <c r="AL376" s="658">
        <v>0.32394373244019348</v>
      </c>
      <c r="AM376" s="646"/>
    </row>
    <row r="377" spans="2:39">
      <c r="B377" s="655">
        <v>0.31408096718325079</v>
      </c>
      <c r="C377" s="656">
        <v>0.32573924928207415</v>
      </c>
      <c r="F377" s="655">
        <v>0.34688565100000002</v>
      </c>
      <c r="G377" s="656">
        <v>0.35210551099999998</v>
      </c>
      <c r="J377" s="655">
        <v>0.38404442235961428</v>
      </c>
      <c r="K377" s="656">
        <v>0.37595385316785801</v>
      </c>
      <c r="N377" s="655">
        <v>0.41008389645109944</v>
      </c>
      <c r="O377" s="656">
        <v>0.38910849895016797</v>
      </c>
      <c r="R377" s="655">
        <v>0.43624796198383547</v>
      </c>
      <c r="S377" s="656">
        <v>0.39963224410635756</v>
      </c>
      <c r="V377" s="655">
        <v>0.46037880399999997</v>
      </c>
      <c r="W377" s="656">
        <v>0.406481388</v>
      </c>
      <c r="Z377" s="655">
        <v>0.34611524906017987</v>
      </c>
      <c r="AA377" s="656">
        <v>0.35314964102240859</v>
      </c>
      <c r="AC377" s="655">
        <v>0.3831557674412438</v>
      </c>
      <c r="AD377" s="656">
        <v>0.37710620122122174</v>
      </c>
      <c r="AG377" s="655">
        <v>0.31676341122070478</v>
      </c>
      <c r="AH377" s="656">
        <v>0.32277037439750766</v>
      </c>
      <c r="AK377" s="657">
        <v>0.31526827863875129</v>
      </c>
      <c r="AL377" s="658">
        <v>0.3240987488034569</v>
      </c>
      <c r="AM377" s="646"/>
    </row>
    <row r="378" spans="2:39">
      <c r="B378" s="655">
        <v>0.31414833439591222</v>
      </c>
      <c r="C378" s="656">
        <v>0.3258330086685387</v>
      </c>
      <c r="F378" s="655">
        <v>0.34696600700000002</v>
      </c>
      <c r="G378" s="656">
        <v>0.35222242199999998</v>
      </c>
      <c r="J378" s="655">
        <v>0.38414879845041</v>
      </c>
      <c r="K378" s="656">
        <v>0.37607781352394487</v>
      </c>
      <c r="N378" s="655">
        <v>0.41019207292347348</v>
      </c>
      <c r="O378" s="656">
        <v>0.38923195184911724</v>
      </c>
      <c r="R378" s="655">
        <v>0.43634342655175612</v>
      </c>
      <c r="S378" s="656">
        <v>0.39974010882104777</v>
      </c>
      <c r="V378" s="655">
        <v>0.46046078200000001</v>
      </c>
      <c r="W378" s="656">
        <v>0.40658708100000002</v>
      </c>
      <c r="Z378" s="655">
        <v>0.34616973197935641</v>
      </c>
      <c r="AA378" s="656">
        <v>0.35322634176056822</v>
      </c>
      <c r="AC378" s="655">
        <v>0.38322624173068376</v>
      </c>
      <c r="AD378" s="656">
        <v>0.37718733564227813</v>
      </c>
      <c r="AG378" s="655">
        <v>0.3168986455225733</v>
      </c>
      <c r="AH378" s="656">
        <v>0.32295293602096931</v>
      </c>
      <c r="AK378" s="657">
        <v>0.31538055732652037</v>
      </c>
      <c r="AL378" s="658">
        <v>0.32425501444756455</v>
      </c>
      <c r="AM378" s="646"/>
    </row>
    <row r="379" spans="2:39">
      <c r="B379" s="655">
        <v>0.31421513858801148</v>
      </c>
      <c r="C379" s="656">
        <v>0.32592748906349239</v>
      </c>
      <c r="F379" s="655">
        <v>0.34704564300000001</v>
      </c>
      <c r="G379" s="656">
        <v>0.35234020900000002</v>
      </c>
      <c r="J379" s="655">
        <v>0.38425245907444439</v>
      </c>
      <c r="K379" s="656">
        <v>0.37620284677215254</v>
      </c>
      <c r="N379" s="655">
        <v>0.4102995207472625</v>
      </c>
      <c r="O379" s="656">
        <v>0.38935652207106641</v>
      </c>
      <c r="R379" s="655">
        <v>0.43643814682827908</v>
      </c>
      <c r="S379" s="656">
        <v>0.39984902745210782</v>
      </c>
      <c r="V379" s="655">
        <v>0.46054191900000002</v>
      </c>
      <c r="W379" s="656">
        <v>0.40669375299999999</v>
      </c>
      <c r="Z379" s="655">
        <v>0.34622376720393444</v>
      </c>
      <c r="AA379" s="656">
        <v>0.35330367415511549</v>
      </c>
      <c r="AC379" s="655">
        <v>0.38329628157307616</v>
      </c>
      <c r="AD379" s="656">
        <v>0.37726923544523866</v>
      </c>
      <c r="AG379" s="655">
        <v>0.31703247903246756</v>
      </c>
      <c r="AH379" s="656">
        <v>0.32313709595094842</v>
      </c>
      <c r="AK379" s="657">
        <v>0.31549189764668578</v>
      </c>
      <c r="AL379" s="658">
        <v>0.32441248177248738</v>
      </c>
      <c r="AM379" s="646"/>
    </row>
    <row r="380" spans="2:39">
      <c r="B380" s="655">
        <v>0.31428135941034446</v>
      </c>
      <c r="C380" s="656">
        <v>0.32602266168729166</v>
      </c>
      <c r="F380" s="655">
        <v>0.34712453399999998</v>
      </c>
      <c r="G380" s="656">
        <v>0.35245883700000002</v>
      </c>
      <c r="J380" s="655">
        <v>0.38435537265568726</v>
      </c>
      <c r="K380" s="656">
        <v>0.37632891482614234</v>
      </c>
      <c r="N380" s="655">
        <v>0.41040620719281851</v>
      </c>
      <c r="O380" s="656">
        <v>0.38948217167071919</v>
      </c>
      <c r="R380" s="655">
        <v>0.43653209396069054</v>
      </c>
      <c r="S380" s="656">
        <v>0.39995896682186755</v>
      </c>
      <c r="V380" s="655">
        <v>0.46062219100000001</v>
      </c>
      <c r="W380" s="656">
        <v>0.40680137199999999</v>
      </c>
      <c r="Z380" s="655">
        <v>0.34627733827426105</v>
      </c>
      <c r="AA380" s="656">
        <v>0.35338161464985396</v>
      </c>
      <c r="AC380" s="655">
        <v>0.38336586563360664</v>
      </c>
      <c r="AD380" s="656">
        <v>0.3773518756826299</v>
      </c>
      <c r="AG380" s="655">
        <v>0.31716487098340401</v>
      </c>
      <c r="AH380" s="656">
        <v>0.32332279809054632</v>
      </c>
      <c r="AK380" s="657">
        <v>0.31560226568390737</v>
      </c>
      <c r="AL380" s="658">
        <v>0.32457110281215279</v>
      </c>
      <c r="AM380" s="646"/>
    </row>
    <row r="381" spans="2:39">
      <c r="B381" s="655">
        <v>0.31434697669140715</v>
      </c>
      <c r="C381" s="656">
        <v>0.32611849754943334</v>
      </c>
      <c r="F381" s="655">
        <v>0.347202656</v>
      </c>
      <c r="G381" s="656">
        <v>0.35257827000000003</v>
      </c>
      <c r="J381" s="655">
        <v>0.38445750784566468</v>
      </c>
      <c r="K381" s="656">
        <v>0.37645597928436386</v>
      </c>
      <c r="N381" s="655">
        <v>0.4105120997624167</v>
      </c>
      <c r="O381" s="656">
        <v>0.38960886237399034</v>
      </c>
      <c r="R381" s="655">
        <v>0.43662523933178393</v>
      </c>
      <c r="S381" s="656">
        <v>0.40006989344172994</v>
      </c>
      <c r="V381" s="655">
        <v>0.460701572</v>
      </c>
      <c r="W381" s="656">
        <v>0.40690990300000002</v>
      </c>
      <c r="Z381" s="655">
        <v>0.34633042887206933</v>
      </c>
      <c r="AA381" s="656">
        <v>0.35346013950335392</v>
      </c>
      <c r="AC381" s="655">
        <v>0.38343497271629629</v>
      </c>
      <c r="AD381" s="656">
        <v>0.37743523118143502</v>
      </c>
      <c r="AG381" s="655">
        <v>0.31729578104751183</v>
      </c>
      <c r="AH381" s="656">
        <v>0.32350998587309238</v>
      </c>
      <c r="AK381" s="657">
        <v>0.31571162781901191</v>
      </c>
      <c r="AL381" s="658">
        <v>0.32473082924905561</v>
      </c>
      <c r="AM381" s="646"/>
    </row>
    <row r="382" spans="2:39">
      <c r="B382" s="655">
        <v>0.31441197044354019</v>
      </c>
      <c r="C382" s="656">
        <v>0.32621496745738543</v>
      </c>
      <c r="F382" s="655">
        <v>0.34727998500000001</v>
      </c>
      <c r="G382" s="656">
        <v>0.35269846999999999</v>
      </c>
      <c r="J382" s="655">
        <v>0.38455883353300846</v>
      </c>
      <c r="K382" s="656">
        <v>0.37658400144175214</v>
      </c>
      <c r="N382" s="655">
        <v>0.41061716620015454</v>
      </c>
      <c r="O382" s="656">
        <v>0.3897365555896643</v>
      </c>
      <c r="R382" s="655">
        <v>0.43671755456857692</v>
      </c>
      <c r="S382" s="656">
        <v>0.400181773522372</v>
      </c>
      <c r="V382" s="655">
        <v>0.46078004</v>
      </c>
      <c r="W382" s="656">
        <v>0.40701931499999999</v>
      </c>
      <c r="Z382" s="655">
        <v>0.34638302282544886</v>
      </c>
      <c r="AA382" s="656">
        <v>0.35353922479618427</v>
      </c>
      <c r="AC382" s="655">
        <v>0.38350358177045812</v>
      </c>
      <c r="AD382" s="656">
        <v>0.37751927655076156</v>
      </c>
      <c r="AG382" s="655">
        <v>0.31742516934831738</v>
      </c>
      <c r="AH382" s="656">
        <v>0.32369860227937469</v>
      </c>
      <c r="AK382" s="657">
        <v>0.31581995073923358</v>
      </c>
      <c r="AL382" s="658">
        <v>0.32489161242897574</v>
      </c>
      <c r="AM382" s="646"/>
    </row>
    <row r="383" spans="2:39">
      <c r="B383" s="655">
        <v>0.31447632086901695</v>
      </c>
      <c r="C383" s="656">
        <v>0.32631204202547942</v>
      </c>
      <c r="F383" s="655">
        <v>0.34735649800000001</v>
      </c>
      <c r="G383" s="656">
        <v>0.352819402</v>
      </c>
      <c r="J383" s="655">
        <v>0.3846593188529327</v>
      </c>
      <c r="K383" s="656">
        <v>0.37671294230151792</v>
      </c>
      <c r="N383" s="655">
        <v>0.41072137450177726</v>
      </c>
      <c r="O383" s="656">
        <v>0.38986521242115069</v>
      </c>
      <c r="R383" s="655">
        <v>0.43680901155095397</v>
      </c>
      <c r="S383" s="656">
        <v>0.40029457298403737</v>
      </c>
      <c r="V383" s="655">
        <v>0.460857568</v>
      </c>
      <c r="W383" s="656">
        <v>0.40712957399999999</v>
      </c>
      <c r="Z383" s="655">
        <v>0.34643510411377193</v>
      </c>
      <c r="AA383" s="656">
        <v>0.35361884643819874</v>
      </c>
      <c r="AC383" s="655">
        <v>0.38357167189710978</v>
      </c>
      <c r="AD383" s="656">
        <v>0.37760398618957591</v>
      </c>
      <c r="AG383" s="655">
        <v>0.31755299647289076</v>
      </c>
      <c r="AH383" s="656">
        <v>0.32388858985500868</v>
      </c>
      <c r="AK383" s="657">
        <v>0.31592720144836156</v>
      </c>
      <c r="AL383" s="658">
        <v>0.32505340337579902</v>
      </c>
      <c r="AM383" s="646"/>
    </row>
    <row r="384" spans="2:39">
      <c r="B384" s="655">
        <v>0.31454000836607454</v>
      </c>
      <c r="C384" s="656">
        <v>0.32640969168386152</v>
      </c>
      <c r="F384" s="655">
        <v>0.34743217100000001</v>
      </c>
      <c r="G384" s="656">
        <v>0.35294102900000002</v>
      </c>
      <c r="J384" s="655">
        <v>0.38475893319663551</v>
      </c>
      <c r="K384" s="656">
        <v>0.3768427625870262</v>
      </c>
      <c r="N384" s="655">
        <v>0.4108246929244268</v>
      </c>
      <c r="O384" s="656">
        <v>0.38999479367833217</v>
      </c>
      <c r="R384" s="655">
        <v>0.43689958242023241</v>
      </c>
      <c r="S384" s="656">
        <v>0.40040825746691727</v>
      </c>
      <c r="V384" s="655">
        <v>0.46093413599999999</v>
      </c>
      <c r="W384" s="656">
        <v>0.40724064700000001</v>
      </c>
      <c r="Z384" s="655">
        <v>0.34648665687257363</v>
      </c>
      <c r="AA384" s="656">
        <v>0.35369898017587381</v>
      </c>
      <c r="AC384" s="655">
        <v>0.38363922235533898</v>
      </c>
      <c r="AD384" s="656">
        <v>0.37768933429450141</v>
      </c>
      <c r="AG384" s="655">
        <v>0.31767922348385164</v>
      </c>
      <c r="AH384" s="656">
        <v>0.32407989072793841</v>
      </c>
      <c r="AK384" s="657">
        <v>0.31603334727679089</v>
      </c>
      <c r="AL384" s="658">
        <v>0.32521615280643584</v>
      </c>
      <c r="AM384" s="646"/>
    </row>
    <row r="385" spans="2:39">
      <c r="B385" s="655">
        <v>0.3146030135348844</v>
      </c>
      <c r="C385" s="656">
        <v>0.3265078866874998</v>
      </c>
      <c r="F385" s="655">
        <v>0.34750698200000002</v>
      </c>
      <c r="G385" s="656">
        <v>0.35306331400000002</v>
      </c>
      <c r="J385" s="655">
        <v>0.38485764622062274</v>
      </c>
      <c r="K385" s="656">
        <v>0.37697342275376039</v>
      </c>
      <c r="N385" s="655">
        <v>0.41092708999631072</v>
      </c>
      <c r="O385" s="656">
        <v>0.39012525988950264</v>
      </c>
      <c r="R385" s="655">
        <v>0.43698923958764807</v>
      </c>
      <c r="S385" s="656">
        <v>0.40052279234161697</v>
      </c>
      <c r="V385" s="655">
        <v>0.46100971699999999</v>
      </c>
      <c r="W385" s="656">
        <v>0.40735249899999998</v>
      </c>
      <c r="Z385" s="655">
        <v>0.34653766539838421</v>
      </c>
      <c r="AA385" s="656">
        <v>0.35377960159969679</v>
      </c>
      <c r="AC385" s="655">
        <v>0.38370621256862181</v>
      </c>
      <c r="AD385" s="656">
        <v>0.37777529486767858</v>
      </c>
      <c r="AG385" s="655">
        <v>0.31780381193122959</v>
      </c>
      <c r="AH385" s="656">
        <v>0.32427244662606486</v>
      </c>
      <c r="AK385" s="657">
        <v>0.31613835589147393</v>
      </c>
      <c r="AL385" s="658">
        <v>0.32537981114583303</v>
      </c>
      <c r="AM385" s="646"/>
    </row>
    <row r="386" spans="2:39">
      <c r="B386" s="655">
        <v>0.31466531718346169</v>
      </c>
      <c r="C386" s="656">
        <v>0.32660659712524498</v>
      </c>
      <c r="F386" s="655">
        <v>0.34758090699999999</v>
      </c>
      <c r="G386" s="656">
        <v>0.35318621900000002</v>
      </c>
      <c r="J386" s="655">
        <v>0.3849554278559511</v>
      </c>
      <c r="K386" s="656">
        <v>0.37710488300136807</v>
      </c>
      <c r="N386" s="655">
        <v>0.41102853452628896</v>
      </c>
      <c r="O386" s="656">
        <v>0.39025657131339025</v>
      </c>
      <c r="R386" s="655">
        <v>0.43707795574275915</v>
      </c>
      <c r="S386" s="656">
        <v>0.40063814271970416</v>
      </c>
      <c r="V386" s="655">
        <v>0.46108429099999998</v>
      </c>
      <c r="W386" s="656">
        <v>0.40746509600000003</v>
      </c>
      <c r="Z386" s="655">
        <v>0.34658811415351254</v>
      </c>
      <c r="AA386" s="656">
        <v>0.35386068615160088</v>
      </c>
      <c r="AC386" s="655">
        <v>0.38377262213109031</v>
      </c>
      <c r="AD386" s="656">
        <v>0.37786184172468412</v>
      </c>
      <c r="AG386" s="655">
        <v>0.31792672386417664</v>
      </c>
      <c r="AH386" s="656">
        <v>0.32446619889499601</v>
      </c>
      <c r="AK386" s="657">
        <v>0.31624219530576947</v>
      </c>
      <c r="AL386" s="658">
        <v>0.32554432854207493</v>
      </c>
      <c r="AM386" s="646"/>
    </row>
    <row r="387" spans="2:39">
      <c r="B387" s="655">
        <v>0.31472690033351158</v>
      </c>
      <c r="C387" s="656">
        <v>0.32670579292894142</v>
      </c>
      <c r="F387" s="655">
        <v>0.347653924</v>
      </c>
      <c r="G387" s="656">
        <v>0.353309706</v>
      </c>
      <c r="J387" s="655">
        <v>0.38505224831738727</v>
      </c>
      <c r="K387" s="656">
        <v>0.37723710328578425</v>
      </c>
      <c r="N387" s="655">
        <v>0.41112899561337496</v>
      </c>
      <c r="O387" s="656">
        <v>0.39038868795126325</v>
      </c>
      <c r="R387" s="655">
        <v>0.43716570386176545</v>
      </c>
      <c r="S387" s="656">
        <v>0.40075427346433617</v>
      </c>
      <c r="V387" s="655">
        <v>0.46115783399999999</v>
      </c>
      <c r="W387" s="656">
        <v>0.40757840499999998</v>
      </c>
      <c r="Z387" s="655">
        <v>0.34663798777077914</v>
      </c>
      <c r="AA387" s="656">
        <v>0.35394220913244617</v>
      </c>
      <c r="AC387" s="655">
        <v>0.38383843081374852</v>
      </c>
      <c r="AD387" s="656">
        <v>0.37794894850250693</v>
      </c>
      <c r="AG387" s="655">
        <v>0.31804792184252745</v>
      </c>
      <c r="AH387" s="656">
        <v>0.32466108851591391</v>
      </c>
      <c r="AK387" s="657">
        <v>0.31634483388918599</v>
      </c>
      <c r="AL387" s="658">
        <v>0.32570965488156906</v>
      </c>
      <c r="AM387" s="646"/>
    </row>
    <row r="388" spans="2:39">
      <c r="B388" s="655">
        <v>0.31478774422620998</v>
      </c>
      <c r="C388" s="656">
        <v>0.32680544388258642</v>
      </c>
      <c r="F388" s="655">
        <v>0.34772600999999997</v>
      </c>
      <c r="G388" s="656">
        <v>0.35343374</v>
      </c>
      <c r="J388" s="655">
        <v>0.3851480781124807</v>
      </c>
      <c r="K388" s="656">
        <v>0.37737004333142948</v>
      </c>
      <c r="N388" s="655">
        <v>0.41122844265614839</v>
      </c>
      <c r="O388" s="656">
        <v>0.39052156955911399</v>
      </c>
      <c r="R388" s="655">
        <v>0.43725245721573985</v>
      </c>
      <c r="S388" s="656">
        <v>0.40087114920096323</v>
      </c>
      <c r="V388" s="655">
        <v>0.46123032400000002</v>
      </c>
      <c r="W388" s="656">
        <v>0.40769239099999999</v>
      </c>
      <c r="Z388" s="655">
        <v>0.34668727105819713</v>
      </c>
      <c r="AA388" s="656">
        <v>0.35402414570954288</v>
      </c>
      <c r="AC388" s="655">
        <v>0.3839036185706341</v>
      </c>
      <c r="AD388" s="656">
        <v>0.37803658866757872</v>
      </c>
      <c r="AG388" s="655">
        <v>0.31816736894820358</v>
      </c>
      <c r="AH388" s="656">
        <v>0.32485705612355203</v>
      </c>
      <c r="AK388" s="657">
        <v>0.31644624037701663</v>
      </c>
      <c r="AL388" s="658">
        <v>0.32587573980431073</v>
      </c>
      <c r="AM388" s="646"/>
    </row>
    <row r="389" spans="2:39">
      <c r="B389" s="655">
        <v>0.31484783032791774</v>
      </c>
      <c r="C389" s="656">
        <v>0.32690551963153414</v>
      </c>
      <c r="F389" s="655">
        <v>0.34779714499999997</v>
      </c>
      <c r="G389" s="656">
        <v>0.35355828</v>
      </c>
      <c r="J389" s="655">
        <v>0.38524288805054746</v>
      </c>
      <c r="K389" s="656">
        <v>0.37750366264347801</v>
      </c>
      <c r="N389" s="655">
        <v>0.4113268453620767</v>
      </c>
      <c r="O389" s="656">
        <v>0.39065517565991736</v>
      </c>
      <c r="R389" s="655">
        <v>0.43733818937877039</v>
      </c>
      <c r="S389" s="656">
        <v>0.40098873432810372</v>
      </c>
      <c r="V389" s="655">
        <v>0.46130173800000002</v>
      </c>
      <c r="W389" s="656">
        <v>0.40780701800000002</v>
      </c>
      <c r="Z389" s="655">
        <v>0.34673594900359961</v>
      </c>
      <c r="AA389" s="656">
        <v>0.35410647092421599</v>
      </c>
      <c r="AC389" s="655">
        <v>0.38396816554492486</v>
      </c>
      <c r="AD389" s="656">
        <v>0.37812473552385617</v>
      </c>
      <c r="AG389" s="655">
        <v>0.31828502879645965</v>
      </c>
      <c r="AH389" s="656">
        <v>0.32505404202427879</v>
      </c>
      <c r="AK389" s="657">
        <v>0.31654638387986289</v>
      </c>
      <c r="AL389" s="658">
        <v>0.32604253271922362</v>
      </c>
      <c r="AM389" s="646"/>
    </row>
    <row r="390" spans="2:39">
      <c r="B390" s="655">
        <v>0.31490714033582629</v>
      </c>
      <c r="C390" s="656">
        <v>0.32700598969174205</v>
      </c>
      <c r="F390" s="655">
        <v>0.34786730500000002</v>
      </c>
      <c r="G390" s="656">
        <v>0.35368329100000001</v>
      </c>
      <c r="J390" s="655">
        <v>0.38533664925156208</v>
      </c>
      <c r="K390" s="656">
        <v>0.37763792052019307</v>
      </c>
      <c r="N390" s="655">
        <v>0.41142417375674245</v>
      </c>
      <c r="O390" s="656">
        <v>0.39078946555596078</v>
      </c>
      <c r="R390" s="655">
        <v>0.43742287423600967</v>
      </c>
      <c r="S390" s="656">
        <v>0.40110699302818892</v>
      </c>
      <c r="V390" s="655">
        <v>0.461372055</v>
      </c>
      <c r="W390" s="656">
        <v>0.40792225300000001</v>
      </c>
      <c r="Z390" s="655">
        <v>0.34678400677921289</v>
      </c>
      <c r="AA390" s="656">
        <v>0.35418915969940756</v>
      </c>
      <c r="AC390" s="655">
        <v>0.38403205207498708</v>
      </c>
      <c r="AD390" s="656">
        <v>0.37821336222095298</v>
      </c>
      <c r="AG390" s="655">
        <v>0.31840086554696601</v>
      </c>
      <c r="AH390" s="656">
        <v>0.32525198621428053</v>
      </c>
      <c r="AK390" s="657">
        <v>0.31664523389304378</v>
      </c>
      <c r="AL390" s="658">
        <v>0.32620998281957003</v>
      </c>
      <c r="AM390" s="646"/>
    </row>
    <row r="391" spans="2:39">
      <c r="B391" s="655">
        <v>0.31496565618353251</v>
      </c>
      <c r="C391" s="656">
        <v>0.32710682345905645</v>
      </c>
      <c r="F391" s="655">
        <v>0.34793647100000002</v>
      </c>
      <c r="G391" s="656">
        <v>0.35380873299999999</v>
      </c>
      <c r="J391" s="655">
        <v>0.38542933315495437</v>
      </c>
      <c r="K391" s="656">
        <v>0.37777277606532472</v>
      </c>
      <c r="N391" s="655">
        <v>0.4115203981929737</v>
      </c>
      <c r="O391" s="656">
        <v>0.39092439834124115</v>
      </c>
      <c r="R391" s="655">
        <v>0.43750648599162978</v>
      </c>
      <c r="S391" s="656">
        <v>0.40122588927847314</v>
      </c>
      <c r="V391" s="655">
        <v>0.461441253</v>
      </c>
      <c r="W391" s="656">
        <v>0.40803805900000001</v>
      </c>
      <c r="Z391" s="655">
        <v>0.34683142974617304</v>
      </c>
      <c r="AA391" s="656">
        <v>0.3542721868473156</v>
      </c>
      <c r="AC391" s="655">
        <v>0.38409525870036498</v>
      </c>
      <c r="AD391" s="656">
        <v>0.3783024417623187</v>
      </c>
      <c r="AG391" s="655">
        <v>0.31851484391472634</v>
      </c>
      <c r="AH391" s="656">
        <v>0.32545082839783945</v>
      </c>
      <c r="AK391" s="657">
        <v>0.31674276030588755</v>
      </c>
      <c r="AL391" s="658">
        <v>0.32637803909842739</v>
      </c>
      <c r="AM391" s="646"/>
    </row>
    <row r="392" spans="2:39">
      <c r="B392" s="655">
        <v>0.31502336004654252</v>
      </c>
      <c r="C392" s="656">
        <v>0.32720799021853508</v>
      </c>
      <c r="F392" s="655">
        <v>0.34800461999999999</v>
      </c>
      <c r="G392" s="656">
        <v>0.353934568</v>
      </c>
      <c r="J392" s="655">
        <v>0.38552091152830947</v>
      </c>
      <c r="K392" s="656">
        <v>0.3779081882005676</v>
      </c>
      <c r="N392" s="655">
        <v>0.41161548935987508</v>
      </c>
      <c r="O392" s="656">
        <v>0.39105993291392477</v>
      </c>
      <c r="R392" s="655">
        <v>0.43758899917668009</v>
      </c>
      <c r="S392" s="656">
        <v>0.40134538686200677</v>
      </c>
      <c r="V392" s="655">
        <v>0.461509312</v>
      </c>
      <c r="W392" s="656">
        <v>0.408154403</v>
      </c>
      <c r="Z392" s="655">
        <v>0.34687820345898485</v>
      </c>
      <c r="AA392" s="656">
        <v>0.35435552707706663</v>
      </c>
      <c r="AC392" s="655">
        <v>0.38415776616770803</v>
      </c>
      <c r="AD392" s="656">
        <v>0.37839194701346202</v>
      </c>
      <c r="AG392" s="655">
        <v>0.31862692918082575</v>
      </c>
      <c r="AH392" s="656">
        <v>0.32565050800570022</v>
      </c>
      <c r="AK392" s="657">
        <v>0.31683893341090419</v>
      </c>
      <c r="AL392" s="658">
        <v>0.32654665036422514</v>
      </c>
      <c r="AM392" s="646"/>
    </row>
    <row r="393" spans="2:39">
      <c r="B393" s="655">
        <v>0.31508023434770055</v>
      </c>
      <c r="C393" s="656">
        <v>0.32730945915380294</v>
      </c>
      <c r="F393" s="655">
        <v>0.348071731</v>
      </c>
      <c r="G393" s="656">
        <v>0.35406075799999998</v>
      </c>
      <c r="J393" s="655">
        <v>0.38561135647596784</v>
      </c>
      <c r="K393" s="656">
        <v>0.3780441156780735</v>
      </c>
      <c r="N393" s="655">
        <v>0.41170941829175595</v>
      </c>
      <c r="O393" s="656">
        <v>0.39119602798886799</v>
      </c>
      <c r="R393" s="655">
        <v>0.43767038865684499</v>
      </c>
      <c r="S393" s="656">
        <v>0.40146544937866829</v>
      </c>
      <c r="V393" s="655">
        <v>0.46157621100000001</v>
      </c>
      <c r="W393" s="656">
        <v>0.408271247</v>
      </c>
      <c r="Z393" s="655">
        <v>0.34692431366992232</v>
      </c>
      <c r="AA393" s="656">
        <v>0.35443915500241929</v>
      </c>
      <c r="AC393" s="655">
        <v>0.38421955543663622</v>
      </c>
      <c r="AD393" s="656">
        <v>0.37848185071021645</v>
      </c>
      <c r="AG393" s="655">
        <v>0.31873708720300631</v>
      </c>
      <c r="AH393" s="656">
        <v>0.32585096421351989</v>
      </c>
      <c r="AK393" s="657">
        <v>0.3169337239128342</v>
      </c>
      <c r="AL393" s="658">
        <v>0.32671576525633822</v>
      </c>
      <c r="AM393" s="646"/>
    </row>
    <row r="394" spans="2:39">
      <c r="B394" s="655">
        <v>0.3151362617625435</v>
      </c>
      <c r="C394" s="656">
        <v>0.32741119935643942</v>
      </c>
      <c r="F394" s="655">
        <v>0.348137786</v>
      </c>
      <c r="G394" s="656">
        <v>0.35418726499999997</v>
      </c>
      <c r="J394" s="655">
        <v>0.38570064044752217</v>
      </c>
      <c r="K394" s="656">
        <v>0.37818051709301609</v>
      </c>
      <c r="N394" s="655">
        <v>0.41180215637695378</v>
      </c>
      <c r="O394" s="656">
        <v>0.39133264211019253</v>
      </c>
      <c r="R394" s="655">
        <v>0.43775062964010042</v>
      </c>
      <c r="S394" s="656">
        <v>0.40158604025625205</v>
      </c>
      <c r="V394" s="655">
        <v>0.46164192900000001</v>
      </c>
      <c r="W394" s="656">
        <v>0.40838855699999999</v>
      </c>
      <c r="Z394" s="655">
        <v>0.34696974633336858</v>
      </c>
      <c r="AA394" s="656">
        <v>0.3545230451494974</v>
      </c>
      <c r="AC394" s="655">
        <v>0.38428060768553968</v>
      </c>
      <c r="AD394" s="656">
        <v>0.37857212546704505</v>
      </c>
      <c r="AG394" s="655">
        <v>0.31884528442606735</v>
      </c>
      <c r="AH394" s="656">
        <v>0.32605213596039578</v>
      </c>
      <c r="AK394" s="657">
        <v>0.31702710293757247</v>
      </c>
      <c r="AL394" s="658">
        <v>0.32688533226073241</v>
      </c>
      <c r="AM394" s="646"/>
    </row>
    <row r="395" spans="2:39">
      <c r="B395" s="655">
        <v>0.3151914252245781</v>
      </c>
      <c r="C395" s="656">
        <v>0.32751317983539324</v>
      </c>
      <c r="F395" s="655">
        <v>0.34820276300000003</v>
      </c>
      <c r="G395" s="656">
        <v>0.35431404999999999</v>
      </c>
      <c r="J395" s="655">
        <v>0.3857887362462098</v>
      </c>
      <c r="K395" s="656">
        <v>0.378317350896203</v>
      </c>
      <c r="N395" s="655">
        <v>0.41189367536654942</v>
      </c>
      <c r="O395" s="656">
        <v>0.39146973366391369</v>
      </c>
      <c r="R395" s="655">
        <v>0.43782969768426566</v>
      </c>
      <c r="S395" s="656">
        <v>0.40170712276160847</v>
      </c>
      <c r="V395" s="655">
        <v>0.46170644599999999</v>
      </c>
      <c r="W395" s="656">
        <v>0.40850629799999999</v>
      </c>
      <c r="Z395" s="655">
        <v>0.34701448761009412</v>
      </c>
      <c r="AA395" s="656">
        <v>0.35460717196454955</v>
      </c>
      <c r="AC395" s="655">
        <v>0.38434090431731188</v>
      </c>
      <c r="AD395" s="656">
        <v>0.37866274378538234</v>
      </c>
      <c r="AG395" s="655">
        <v>0.31895148789208666</v>
      </c>
      <c r="AH395" s="656">
        <v>0.32625396196746498</v>
      </c>
      <c r="AK395" s="657">
        <v>0.31711904204096353</v>
      </c>
      <c r="AL395" s="658">
        <v>0.32705529972565539</v>
      </c>
      <c r="AM395" s="646"/>
    </row>
    <row r="396" spans="2:39">
      <c r="B396" s="655">
        <v>0.31524570793047946</v>
      </c>
      <c r="C396" s="656">
        <v>0.32761536952642256</v>
      </c>
      <c r="F396" s="655">
        <v>0.34826664200000002</v>
      </c>
      <c r="G396" s="656">
        <v>0.35444107400000002</v>
      </c>
      <c r="J396" s="655">
        <v>0.38587561703719708</v>
      </c>
      <c r="K396" s="656">
        <v>0.37845457540673222</v>
      </c>
      <c r="N396" s="655">
        <v>0.41198394738297206</v>
      </c>
      <c r="O396" s="656">
        <v>0.39160726089061604</v>
      </c>
      <c r="R396" s="655">
        <v>0.43790756870444836</v>
      </c>
      <c r="S396" s="656">
        <v>0.40182866001183359</v>
      </c>
      <c r="V396" s="655">
        <v>0.46176974199999998</v>
      </c>
      <c r="W396" s="656">
        <v>0.40862443199999998</v>
      </c>
      <c r="Z396" s="655">
        <v>0.34705852387147268</v>
      </c>
      <c r="AA396" s="656">
        <v>0.35469150982173281</v>
      </c>
      <c r="AC396" s="655">
        <v>0.38440042696501475</v>
      </c>
      <c r="AD396" s="656">
        <v>0.37875367806201071</v>
      </c>
      <c r="AG396" s="655">
        <v>0.31905566525045959</v>
      </c>
      <c r="AH396" s="656">
        <v>0.32645638075657052</v>
      </c>
      <c r="AK396" s="657">
        <v>0.31720951321746577</v>
      </c>
      <c r="AL396" s="658">
        <v>0.32722561587737092</v>
      </c>
      <c r="AM396" s="646"/>
    </row>
    <row r="397" spans="2:39">
      <c r="B397" s="655">
        <v>0.3152990933452095</v>
      </c>
      <c r="C397" s="656">
        <v>0.32771773730155757</v>
      </c>
      <c r="F397" s="655">
        <v>0.34832940400000001</v>
      </c>
      <c r="G397" s="656">
        <v>0.35456829899999998</v>
      </c>
      <c r="J397" s="655">
        <v>0.38596125635575346</v>
      </c>
      <c r="K397" s="656">
        <v>0.3785921488246885</v>
      </c>
      <c r="N397" s="655">
        <v>0.41207294492849106</v>
      </c>
      <c r="O397" s="656">
        <v>0.3917451818981742</v>
      </c>
      <c r="R397" s="655">
        <v>0.43798421898038153</v>
      </c>
      <c r="S397" s="656">
        <v>0.40195061498550355</v>
      </c>
      <c r="V397" s="655">
        <v>0.46183179899999999</v>
      </c>
      <c r="W397" s="656">
        <v>0.40874292400000001</v>
      </c>
      <c r="Z397" s="655">
        <v>0.34710184170363245</v>
      </c>
      <c r="AA397" s="656">
        <v>0.35477603303091898</v>
      </c>
      <c r="AC397" s="655">
        <v>0.38445915749747317</v>
      </c>
      <c r="AD397" s="656">
        <v>0.37884490059746867</v>
      </c>
      <c r="AG397" s="655">
        <v>0.31915778476775364</v>
      </c>
      <c r="AH397" s="656">
        <v>0.3266593306689885</v>
      </c>
      <c r="AK397" s="657">
        <v>0.31729848890868245</v>
      </c>
      <c r="AL397" s="658">
        <v>0.32739622883592923</v>
      </c>
      <c r="AM397" s="646"/>
    </row>
    <row r="398" spans="2:39">
      <c r="B398" s="655">
        <v>0.31535156520705365</v>
      </c>
      <c r="C398" s="656">
        <v>0.32782025197858228</v>
      </c>
      <c r="F398" s="655">
        <v>0.34839103100000002</v>
      </c>
      <c r="G398" s="656">
        <v>0.35469568600000001</v>
      </c>
      <c r="J398" s="655">
        <v>0.3860456281153129</v>
      </c>
      <c r="K398" s="656">
        <v>0.37873002924387605</v>
      </c>
      <c r="N398" s="655">
        <v>0.41216064089359195</v>
      </c>
      <c r="O398" s="656">
        <v>0.39188345467451319</v>
      </c>
      <c r="R398" s="655">
        <v>0.4380596251636486</v>
      </c>
      <c r="S398" s="656">
        <v>0.40207295053395203</v>
      </c>
      <c r="V398" s="655">
        <v>0.46189259799999999</v>
      </c>
      <c r="W398" s="656">
        <v>0.40886173799999997</v>
      </c>
      <c r="Z398" s="655">
        <v>0.34714442791154215</v>
      </c>
      <c r="AA398" s="656">
        <v>0.3548607158455197</v>
      </c>
      <c r="AC398" s="655">
        <v>0.38451707802479806</v>
      </c>
      <c r="AD398" s="656">
        <v>0.37893638360448811</v>
      </c>
      <c r="AG398" s="655">
        <v>0.31925781533737463</v>
      </c>
      <c r="AH398" s="656">
        <v>0.32686274988420944</v>
      </c>
      <c r="AK398" s="657">
        <v>0.31738594201175613</v>
      </c>
      <c r="AL398" s="658">
        <v>0.32756708663097051</v>
      </c>
      <c r="AM398" s="646"/>
    </row>
    <row r="399" spans="2:39">
      <c r="B399" s="655">
        <v>0.31540310753257461</v>
      </c>
      <c r="C399" s="656">
        <v>0.32792288233053307</v>
      </c>
      <c r="F399" s="655">
        <v>0.34845150200000002</v>
      </c>
      <c r="G399" s="656">
        <v>0.35482319600000001</v>
      </c>
      <c r="J399" s="655">
        <v>0.38612870661542009</v>
      </c>
      <c r="K399" s="656">
        <v>0.37886817466458356</v>
      </c>
      <c r="N399" s="655">
        <v>0.41224700856523411</v>
      </c>
      <c r="O399" s="656">
        <v>0.39202203710040573</v>
      </c>
      <c r="R399" s="655">
        <v>0.43813376428479556</v>
      </c>
      <c r="S399" s="656">
        <v>0.4021956293925858</v>
      </c>
      <c r="V399" s="655">
        <v>0.46195211899999999</v>
      </c>
      <c r="W399" s="656">
        <v>0.40898083899999998</v>
      </c>
      <c r="Z399" s="655">
        <v>0.34718626952303028</v>
      </c>
      <c r="AA399" s="656">
        <v>0.35494553247032934</v>
      </c>
      <c r="AC399" s="655">
        <v>0.38457417090383567</v>
      </c>
      <c r="AD399" s="656">
        <v>0.37902809921645897</v>
      </c>
      <c r="AG399" s="655">
        <v>0.31935572648904192</v>
      </c>
      <c r="AH399" s="656">
        <v>0.32706657643876991</v>
      </c>
      <c r="AK399" s="657">
        <v>0.31747184588762434</v>
      </c>
      <c r="AL399" s="658">
        <v>0.32773813721755507</v>
      </c>
      <c r="AM399" s="646"/>
    </row>
    <row r="400" spans="2:39">
      <c r="B400" s="655">
        <v>0.31545370462148065</v>
      </c>
      <c r="C400" s="656">
        <v>0.32802559709521045</v>
      </c>
      <c r="F400" s="655">
        <v>0.34851080099999998</v>
      </c>
      <c r="G400" s="656">
        <v>0.35495079000000002</v>
      </c>
      <c r="J400" s="655">
        <v>0.38621046654955909</v>
      </c>
      <c r="K400" s="656">
        <v>0.37900654300637754</v>
      </c>
      <c r="N400" s="655">
        <v>0.41233202163498817</v>
      </c>
      <c r="O400" s="656">
        <v>0.39216088696230256</v>
      </c>
      <c r="R400" s="655">
        <v>0.43820661376032799</v>
      </c>
      <c r="S400" s="656">
        <v>0.40231861419223613</v>
      </c>
      <c r="V400" s="655">
        <v>0.46201034499999999</v>
      </c>
      <c r="W400" s="656">
        <v>0.40910018799999998</v>
      </c>
      <c r="Z400" s="655">
        <v>0.34722735379273667</v>
      </c>
      <c r="AA400" s="656">
        <v>0.3550304570693823</v>
      </c>
      <c r="AC400" s="655">
        <v>0.38463041874354192</v>
      </c>
      <c r="AD400" s="656">
        <v>0.37912001949591739</v>
      </c>
      <c r="AG400" s="655">
        <v>0.31945148839807036</v>
      </c>
      <c r="AH400" s="656">
        <v>0.32727074824512686</v>
      </c>
      <c r="AK400" s="657">
        <v>0.31755617436913441</v>
      </c>
      <c r="AL400" s="658">
        <v>0.32790932849201737</v>
      </c>
      <c r="AM400" s="646"/>
    </row>
    <row r="401" spans="2:39">
      <c r="B401" s="655">
        <v>0.31550334106140837</v>
      </c>
      <c r="C401" s="656">
        <v>0.3281283649847021</v>
      </c>
      <c r="F401" s="655">
        <v>0.34856890800000001</v>
      </c>
      <c r="G401" s="656">
        <v>0.35507843</v>
      </c>
      <c r="J401" s="655">
        <v>0.38629088301286191</v>
      </c>
      <c r="K401" s="656">
        <v>0.37914509212092073</v>
      </c>
      <c r="N401" s="655">
        <v>0.41241565420704951</v>
      </c>
      <c r="O401" s="656">
        <v>0.39229996196519062</v>
      </c>
      <c r="R401" s="655">
        <v>0.43827815139958998</v>
      </c>
      <c r="S401" s="656">
        <v>0.40244186747054173</v>
      </c>
      <c r="V401" s="655">
        <v>0.46206725799999998</v>
      </c>
      <c r="W401" s="656">
        <v>0.40921975100000002</v>
      </c>
      <c r="Z401" s="655">
        <v>0.34726766820599475</v>
      </c>
      <c r="AA401" s="656">
        <v>0.35511546377382303</v>
      </c>
      <c r="AC401" s="655">
        <v>0.38468580441028005</v>
      </c>
      <c r="AD401" s="656">
        <v>0.37921211644305569</v>
      </c>
      <c r="AG401" s="655">
        <v>0.31954507189445464</v>
      </c>
      <c r="AH401" s="656">
        <v>0.32747520311057021</v>
      </c>
      <c r="AK401" s="657">
        <v>0.31763890176901394</v>
      </c>
      <c r="AL401" s="658">
        <v>0.32808060830783681</v>
      </c>
      <c r="AM401" s="646"/>
    </row>
    <row r="402" spans="2:39">
      <c r="B402" s="655">
        <v>0.31555200173261733</v>
      </c>
      <c r="C402" s="656">
        <v>0.32823115469491337</v>
      </c>
      <c r="F402" s="655">
        <v>0.34862580599999998</v>
      </c>
      <c r="G402" s="656">
        <v>0.35520607599999998</v>
      </c>
      <c r="J402" s="655">
        <v>0.3863699315096949</v>
      </c>
      <c r="K402" s="656">
        <v>0.37928377980481071</v>
      </c>
      <c r="N402" s="655">
        <v>0.41249788080612659</v>
      </c>
      <c r="O402" s="656">
        <v>0.3924392197454768</v>
      </c>
      <c r="R402" s="655">
        <v>0.4383483554115235</v>
      </c>
      <c r="S402" s="656">
        <v>0.40256535168335994</v>
      </c>
      <c r="V402" s="655">
        <v>0.46212284100000001</v>
      </c>
      <c r="W402" s="656">
        <v>0.409339491</v>
      </c>
      <c r="Z402" s="655">
        <v>0.34730720048264374</v>
      </c>
      <c r="AA402" s="656">
        <v>0.35520052668978591</v>
      </c>
      <c r="AC402" s="655">
        <v>0.38474031103303935</v>
      </c>
      <c r="AD402" s="656">
        <v>0.37930436200425172</v>
      </c>
      <c r="AG402" s="655">
        <v>0.31963644847175532</v>
      </c>
      <c r="AH402" s="656">
        <v>0.32767987875616733</v>
      </c>
      <c r="AK402" s="657">
        <v>0.31772000288769553</v>
      </c>
      <c r="AL402" s="658">
        <v>0.32825192449152224</v>
      </c>
      <c r="AM402" s="646"/>
    </row>
    <row r="403" spans="2:39">
      <c r="B403" s="655">
        <v>0.31559967181259568</v>
      </c>
      <c r="C403" s="656">
        <v>0.32833393491510277</v>
      </c>
      <c r="F403" s="655">
        <v>0.34868147799999999</v>
      </c>
      <c r="G403" s="656">
        <v>0.35533368999999998</v>
      </c>
      <c r="J403" s="655">
        <v>0.38644758796112011</v>
      </c>
      <c r="K403" s="656">
        <v>0.37942256381243544</v>
      </c>
      <c r="N403" s="655">
        <v>0.41257867638520068</v>
      </c>
      <c r="O403" s="656">
        <v>0.39257861788389214</v>
      </c>
      <c r="R403" s="655">
        <v>0.43841720441130649</v>
      </c>
      <c r="S403" s="656">
        <v>0.40268902921620342</v>
      </c>
      <c r="V403" s="655">
        <v>0.46217707699999999</v>
      </c>
      <c r="W403" s="656">
        <v>0.40945937100000002</v>
      </c>
      <c r="Z403" s="655">
        <v>0.34734593858076918</v>
      </c>
      <c r="AA403" s="656">
        <v>0.35528561990628271</v>
      </c>
      <c r="AC403" s="655">
        <v>0.3847939220085746</v>
      </c>
      <c r="AD403" s="656">
        <v>0.37939672808061381</v>
      </c>
      <c r="AG403" s="655">
        <v>0.31972559029578174</v>
      </c>
      <c r="AH403" s="656">
        <v>0.32788471283573384</v>
      </c>
      <c r="AK403" s="657">
        <v>0.31779945302099283</v>
      </c>
      <c r="AL403" s="658">
        <v>0.32842322485850456</v>
      </c>
      <c r="AM403" s="646"/>
    </row>
    <row r="404" spans="2:39">
      <c r="B404" s="655">
        <v>0.3156463367805753</v>
      </c>
      <c r="C404" s="656">
        <v>0.32843667433741952</v>
      </c>
      <c r="F404" s="655">
        <v>0.34873590700000001</v>
      </c>
      <c r="G404" s="656">
        <v>0.35546123299999999</v>
      </c>
      <c r="J404" s="655">
        <v>0.38652382871223012</v>
      </c>
      <c r="K404" s="656">
        <v>0.37956140186884174</v>
      </c>
      <c r="N404" s="655">
        <v>0.4126580163331558</v>
      </c>
      <c r="O404" s="656">
        <v>0.39271811391841338</v>
      </c>
      <c r="R404" s="655">
        <v>0.43848467742686664</v>
      </c>
      <c r="S404" s="656">
        <v>0.40281286239569752</v>
      </c>
      <c r="V404" s="655">
        <v>0.462229948</v>
      </c>
      <c r="W404" s="656">
        <v>0.40957935400000001</v>
      </c>
      <c r="Z404" s="655">
        <v>0.34738387070037113</v>
      </c>
      <c r="AA404" s="656">
        <v>0.3553707175030954</v>
      </c>
      <c r="AC404" s="655">
        <v>0.38484662100646327</v>
      </c>
      <c r="AD404" s="656">
        <v>0.37948918653654046</v>
      </c>
      <c r="AG404" s="655">
        <v>0.31981247021307074</v>
      </c>
      <c r="AH404" s="656">
        <v>0.3280896429548249</v>
      </c>
      <c r="AK404" s="657">
        <v>0.31787722796762546</v>
      </c>
      <c r="AL404" s="658">
        <v>0.32859445722903258</v>
      </c>
      <c r="AM404" s="646"/>
    </row>
    <row r="405" spans="2:39">
      <c r="B405" s="655">
        <v>0.31569198242195484</v>
      </c>
      <c r="C405" s="656">
        <v>0.32853934166644044</v>
      </c>
      <c r="F405" s="655">
        <v>0.348789075</v>
      </c>
      <c r="G405" s="656">
        <v>0.355588666</v>
      </c>
      <c r="J405" s="655">
        <v>0.38659863053935367</v>
      </c>
      <c r="K405" s="656">
        <v>0.37970025168261268</v>
      </c>
      <c r="N405" s="655">
        <v>0.41273587648227517</v>
      </c>
      <c r="O405" s="656">
        <v>0.39285766535719702</v>
      </c>
      <c r="R405" s="655">
        <v>0.43855075390526982</v>
      </c>
      <c r="S405" s="656">
        <v>0.4029368135010562</v>
      </c>
      <c r="V405" s="655">
        <v>0.46228143999999999</v>
      </c>
      <c r="W405" s="656">
        <v>0.40969940500000002</v>
      </c>
      <c r="Z405" s="655">
        <v>0.34742098528695858</v>
      </c>
      <c r="AA405" s="656">
        <v>0.35545579355867152</v>
      </c>
      <c r="AC405" s="655">
        <v>0.38489839197408005</v>
      </c>
      <c r="AD405" s="656">
        <v>0.37958170920829026</v>
      </c>
      <c r="AG405" s="655">
        <v>0.31989706175915794</v>
      </c>
      <c r="AH405" s="656">
        <v>0.32829460668974092</v>
      </c>
      <c r="AK405" s="657">
        <v>0.31795330403659139</v>
      </c>
      <c r="AL405" s="658">
        <v>0.32876556944406737</v>
      </c>
      <c r="AM405" s="646"/>
    </row>
    <row r="406" spans="2:39">
      <c r="B406" s="655">
        <v>0.31573659483262978</v>
      </c>
      <c r="C406" s="656">
        <v>0.32864190562870244</v>
      </c>
      <c r="F406" s="655">
        <v>0.34884096799999997</v>
      </c>
      <c r="G406" s="656">
        <v>0.35571595</v>
      </c>
      <c r="J406" s="655">
        <v>0.38667197065712955</v>
      </c>
      <c r="K406" s="656">
        <v>0.37983907095874997</v>
      </c>
      <c r="N406" s="655">
        <v>0.41281223311560311</v>
      </c>
      <c r="O406" s="656">
        <v>0.39299722969152295</v>
      </c>
      <c r="R406" s="655">
        <v>0.43861541371898055</v>
      </c>
      <c r="S406" s="656">
        <v>0.40306084477557197</v>
      </c>
      <c r="V406" s="655">
        <v>0.46233153700000001</v>
      </c>
      <c r="W406" s="656">
        <v>0.40981948600000001</v>
      </c>
      <c r="Z406" s="655">
        <v>0.34745727103506879</v>
      </c>
      <c r="AA406" s="656">
        <v>0.35554082215802052</v>
      </c>
      <c r="AC406" s="655">
        <v>0.38494921914148678</v>
      </c>
      <c r="AD406" s="656">
        <v>0.37967426791256115</v>
      </c>
      <c r="AG406" s="655">
        <v>0.3199793391666389</v>
      </c>
      <c r="AH406" s="656">
        <v>0.32849954160654277</v>
      </c>
      <c r="AK406" s="657">
        <v>0.31802765805438293</v>
      </c>
      <c r="AL406" s="658">
        <v>0.32893650938117075</v>
      </c>
      <c r="AM406" s="646"/>
    </row>
    <row r="407" spans="2:39">
      <c r="B407" s="655">
        <v>0.31578016042322765</v>
      </c>
      <c r="C407" s="656">
        <v>0.32874433498222916</v>
      </c>
      <c r="F407" s="655">
        <v>0.34889156900000001</v>
      </c>
      <c r="G407" s="656">
        <v>0.355843046</v>
      </c>
      <c r="J407" s="655">
        <v>0.38674382672544744</v>
      </c>
      <c r="K407" s="656">
        <v>0.37997781741155728</v>
      </c>
      <c r="N407" s="655">
        <v>0.41288706297416949</v>
      </c>
      <c r="O407" s="656">
        <v>0.39313676440874301</v>
      </c>
      <c r="R407" s="655">
        <v>0.43867863717199329</v>
      </c>
      <c r="S407" s="656">
        <v>0.4031849184381171</v>
      </c>
      <c r="V407" s="655">
        <v>0.46238022200000001</v>
      </c>
      <c r="W407" s="656">
        <v>0.40993956199999998</v>
      </c>
      <c r="Z407" s="655">
        <v>0.34749271689171141</v>
      </c>
      <c r="AA407" s="656">
        <v>0.35562577740060725</v>
      </c>
      <c r="AC407" s="655">
        <v>0.38499908702623581</v>
      </c>
      <c r="AD407" s="656">
        <v>0.37976683445507514</v>
      </c>
      <c r="AG407" s="655">
        <v>0.32005927737301826</v>
      </c>
      <c r="AH407" s="656">
        <v>0.32870438528006957</v>
      </c>
      <c r="AK407" s="657">
        <v>0.31810026737204605</v>
      </c>
      <c r="AL407" s="658">
        <v>0.32910722497038192</v>
      </c>
      <c r="AM407" s="646"/>
    </row>
    <row r="408" spans="2:39">
      <c r="B408" s="655">
        <v>0.31582266592324754</v>
      </c>
      <c r="C408" s="656">
        <v>0.32884659852604714</v>
      </c>
      <c r="F408" s="655">
        <v>0.34894086299999999</v>
      </c>
      <c r="G408" s="656">
        <v>0.35596991700000002</v>
      </c>
      <c r="J408" s="655">
        <v>0.38681417685625286</v>
      </c>
      <c r="K408" s="656">
        <v>0.38011644877752104</v>
      </c>
      <c r="N408" s="655">
        <v>0.41296034326407444</v>
      </c>
      <c r="O408" s="656">
        <v>0.39327622700523052</v>
      </c>
      <c r="R408" s="655">
        <v>0.43874040500583172</v>
      </c>
      <c r="S408" s="656">
        <v>0.40330899669465214</v>
      </c>
      <c r="V408" s="655">
        <v>0.462427482</v>
      </c>
      <c r="W408" s="656">
        <v>0.410059595</v>
      </c>
      <c r="Z408" s="655">
        <v>0.34752731205973519</v>
      </c>
      <c r="AA408" s="656">
        <v>0.35571063340824188</v>
      </c>
      <c r="AC408" s="655">
        <v>0.38504798043808636</v>
      </c>
      <c r="AD408" s="656">
        <v>0.37985938063916663</v>
      </c>
      <c r="AG408" s="655">
        <v>0.32013685202834397</v>
      </c>
      <c r="AH408" s="656">
        <v>0.32890907531295394</v>
      </c>
      <c r="AK408" s="657">
        <v>0.31817110987207919</v>
      </c>
      <c r="AL408" s="658">
        <v>0.32927766421007859</v>
      </c>
      <c r="AM408" s="646"/>
    </row>
    <row r="409" spans="2:39">
      <c r="B409" s="655">
        <v>0.31586409838510238</v>
      </c>
      <c r="C409" s="656">
        <v>0.3289486651096904</v>
      </c>
      <c r="F409" s="655">
        <v>0.34898883400000003</v>
      </c>
      <c r="G409" s="656">
        <v>0.35609652200000003</v>
      </c>
      <c r="J409" s="655">
        <v>0.38688299962021439</v>
      </c>
      <c r="K409" s="656">
        <v>0.38025492282818424</v>
      </c>
      <c r="N409" s="655">
        <v>0.41303205166343177</v>
      </c>
      <c r="O409" s="656">
        <v>0.39341557499932767</v>
      </c>
      <c r="R409" s="655">
        <v>0.4388006984054153</v>
      </c>
      <c r="S409" s="656">
        <v>0.4034330417497381</v>
      </c>
      <c r="V409" s="655">
        <v>0.46247330199999998</v>
      </c>
      <c r="W409" s="656">
        <v>0.41017954899999998</v>
      </c>
      <c r="Z409" s="655">
        <v>0.34756104600111676</v>
      </c>
      <c r="AA409" s="656">
        <v>0.35579536433296249</v>
      </c>
      <c r="AC409" s="655">
        <v>0.38509588448363163</v>
      </c>
      <c r="AD409" s="656">
        <v>0.37995187827437155</v>
      </c>
      <c r="AG409" s="655">
        <v>0.32021203950262461</v>
      </c>
      <c r="AH409" s="656">
        <v>0.329113549354629</v>
      </c>
      <c r="AK409" s="657">
        <v>0.31824016397517063</v>
      </c>
      <c r="AL409" s="658">
        <v>0.32944777518281732</v>
      </c>
      <c r="AM409" s="646"/>
    </row>
    <row r="410" spans="2:39">
      <c r="B410" s="655">
        <v>0.31590444518806293</v>
      </c>
      <c r="C410" s="656">
        <v>0.32905050364268873</v>
      </c>
      <c r="F410" s="655">
        <v>0.34903546899999999</v>
      </c>
      <c r="G410" s="656">
        <v>0.35622282300000002</v>
      </c>
      <c r="J410" s="655">
        <v>0.3869502740532515</v>
      </c>
      <c r="K410" s="656">
        <v>0.38039319738300953</v>
      </c>
      <c r="N410" s="655">
        <v>0.41310216632916835</v>
      </c>
      <c r="O410" s="656">
        <v>0.39355476594428551</v>
      </c>
      <c r="R410" s="655">
        <v>0.43885949900479049</v>
      </c>
      <c r="S410" s="656">
        <v>0.40355701581804954</v>
      </c>
      <c r="V410" s="655">
        <v>0.46251766799999999</v>
      </c>
      <c r="W410" s="656">
        <v>0.41029938700000002</v>
      </c>
      <c r="Z410" s="655">
        <v>0.34759390844017085</v>
      </c>
      <c r="AA410" s="656">
        <v>0.35587994436490855</v>
      </c>
      <c r="AC410" s="655">
        <v>0.38514278457083523</v>
      </c>
      <c r="AD410" s="656">
        <v>0.38004429918501403</v>
      </c>
      <c r="AG410" s="655">
        <v>0.32028481689302707</v>
      </c>
      <c r="AH410" s="656">
        <v>0.32931774512032091</v>
      </c>
      <c r="AK410" s="657">
        <v>0.31830740864677154</v>
      </c>
      <c r="AL410" s="658">
        <v>0.32961750607114787</v>
      </c>
      <c r="AM410" s="646"/>
    </row>
    <row r="411" spans="2:39">
      <c r="B411" s="655">
        <v>0.31594369404210215</v>
      </c>
      <c r="C411" s="656">
        <v>0.32915208310403848</v>
      </c>
      <c r="F411" s="655">
        <v>0.34908075199999999</v>
      </c>
      <c r="G411" s="656">
        <v>0.356348783</v>
      </c>
      <c r="J411" s="655">
        <v>0.38701597966292012</v>
      </c>
      <c r="K411" s="656">
        <v>0.38053123032222813</v>
      </c>
      <c r="N411" s="655">
        <v>0.4131706659036779</v>
      </c>
      <c r="O411" s="656">
        <v>0.39369375744119389</v>
      </c>
      <c r="R411" s="655">
        <v>0.43891678889272506</v>
      </c>
      <c r="S411" s="656">
        <v>0.4036808811358843</v>
      </c>
      <c r="V411" s="655">
        <v>0.46256056600000001</v>
      </c>
      <c r="W411" s="656">
        <v>0.41041907300000002</v>
      </c>
      <c r="Z411" s="655">
        <v>0.34762588936668015</v>
      </c>
      <c r="AA411" s="656">
        <v>0.35596434774018304</v>
      </c>
      <c r="AC411" s="655">
        <v>0.38518866641347627</v>
      </c>
      <c r="AD411" s="656">
        <v>0.38013661521878944</v>
      </c>
      <c r="AG411" s="655">
        <v>0.32035516203085324</v>
      </c>
      <c r="AH411" s="656">
        <v>0.32952160041002138</v>
      </c>
      <c r="AK411" s="657">
        <v>0.31837282340350354</v>
      </c>
      <c r="AL411" s="658">
        <v>0.32978680517339748</v>
      </c>
      <c r="AM411" s="646"/>
    </row>
    <row r="412" spans="2:39">
      <c r="B412" s="655">
        <v>0.3159818329916389</v>
      </c>
      <c r="C412" s="656">
        <v>0.32925337255165171</v>
      </c>
      <c r="F412" s="655">
        <v>0.349124671</v>
      </c>
      <c r="G412" s="656">
        <v>0.35647436199999999</v>
      </c>
      <c r="J412" s="655">
        <v>0.38708009643465513</v>
      </c>
      <c r="K412" s="656">
        <v>0.38066897959966955</v>
      </c>
      <c r="N412" s="655">
        <v>0.41323752952132636</v>
      </c>
      <c r="O412" s="656">
        <v>0.39383250715189638</v>
      </c>
      <c r="R412" s="655">
        <v>0.4389725506181642</v>
      </c>
      <c r="S412" s="656">
        <v>0.40380459997266671</v>
      </c>
      <c r="V412" s="655">
        <v>0.46260198400000002</v>
      </c>
      <c r="W412" s="656">
        <v>0.41053857100000002</v>
      </c>
      <c r="Z412" s="655">
        <v>0.3476569790389446</v>
      </c>
      <c r="AA412" s="656">
        <v>0.35604854874870018</v>
      </c>
      <c r="AC412" s="655">
        <v>0.38523351603550099</v>
      </c>
      <c r="AD412" s="656">
        <v>0.38022879825533967</v>
      </c>
      <c r="AG412" s="655">
        <v>0.3204230534882927</v>
      </c>
      <c r="AH412" s="656">
        <v>0.32972505312743428</v>
      </c>
      <c r="AK412" s="657">
        <v>0.31843638831939813</v>
      </c>
      <c r="AL412" s="658">
        <v>0.32995562091941955</v>
      </c>
      <c r="AM412" s="646"/>
    </row>
    <row r="413" spans="2:39">
      <c r="B413" s="655">
        <v>0.31601885041917965</v>
      </c>
      <c r="C413" s="656">
        <v>0.32935434113178147</v>
      </c>
      <c r="F413" s="655">
        <v>0.34916721099999998</v>
      </c>
      <c r="G413" s="656">
        <v>0.356599522</v>
      </c>
      <c r="J413" s="655">
        <v>0.38714260483786672</v>
      </c>
      <c r="K413" s="656">
        <v>0.38080640325556947</v>
      </c>
      <c r="N413" s="655">
        <v>0.41330273681480806</v>
      </c>
      <c r="O413" s="656">
        <v>0.39397097281188703</v>
      </c>
      <c r="R413" s="655">
        <v>0.43902676719554612</v>
      </c>
      <c r="S413" s="656">
        <v>0.40392813464244054</v>
      </c>
      <c r="V413" s="655">
        <v>0.46264190900000002</v>
      </c>
      <c r="W413" s="656">
        <v>0.41065784399999999</v>
      </c>
      <c r="Z413" s="655">
        <v>0.34768716798674892</v>
      </c>
      <c r="AA413" s="656">
        <v>0.35613252174201709</v>
      </c>
      <c r="AC413" s="655">
        <v>0.38527731977528007</v>
      </c>
      <c r="AD413" s="656">
        <v>0.38032082021481872</v>
      </c>
      <c r="AG413" s="655">
        <v>0.32048847058494989</v>
      </c>
      <c r="AH413" s="656">
        <v>0.32992804129889103</v>
      </c>
      <c r="AK413" s="657">
        <v>0.31849808403196606</v>
      </c>
      <c r="AL413" s="658">
        <v>0.33012390188630247</v>
      </c>
      <c r="AM413" s="646"/>
    </row>
    <row r="414" spans="2:39">
      <c r="B414" s="655">
        <v>0.31605473504885739</v>
      </c>
      <c r="C414" s="656">
        <v>0.32945495808842012</v>
      </c>
      <c r="F414" s="655">
        <v>0.34920836</v>
      </c>
      <c r="G414" s="656">
        <v>0.35672422599999998</v>
      </c>
      <c r="J414" s="655">
        <v>0.38720348583188968</v>
      </c>
      <c r="K414" s="656">
        <v>0.38094345942935098</v>
      </c>
      <c r="N414" s="655">
        <v>0.41336626792134978</v>
      </c>
      <c r="O414" s="656">
        <v>0.3941091122431844</v>
      </c>
      <c r="R414" s="655">
        <v>0.43907942210997619</v>
      </c>
      <c r="S414" s="656">
        <v>0.40405144751534866</v>
      </c>
      <c r="V414" s="655">
        <v>0.46268032799999997</v>
      </c>
      <c r="W414" s="656">
        <v>0.410776855</v>
      </c>
      <c r="Z414" s="655">
        <v>0.34771644701424709</v>
      </c>
      <c r="AA414" s="656">
        <v>0.35621624114114658</v>
      </c>
      <c r="AC414" s="655">
        <v>0.38532006428977011</v>
      </c>
      <c r="AD414" s="656">
        <v>0.38041265306644634</v>
      </c>
      <c r="AG414" s="655">
        <v>0.32055139339414335</v>
      </c>
      <c r="AH414" s="656">
        <v>0.33013050309222824</v>
      </c>
      <c r="AK414" s="657">
        <v>0.31855789174809568</v>
      </c>
      <c r="AL414" s="658">
        <v>0.33029159681403358</v>
      </c>
      <c r="AM414" s="646"/>
    </row>
    <row r="415" spans="2:39">
      <c r="B415" s="655">
        <v>0.31608947594986636</v>
      </c>
      <c r="C415" s="656">
        <v>0.32955519277266804</v>
      </c>
      <c r="F415" s="655">
        <v>0.34924810499999998</v>
      </c>
      <c r="G415" s="656">
        <v>0.35684843500000002</v>
      </c>
      <c r="J415" s="655">
        <v>0.38726272087178354</v>
      </c>
      <c r="K415" s="656">
        <v>0.38108010637237599</v>
      </c>
      <c r="N415" s="655">
        <v>0.41342810348876102</v>
      </c>
      <c r="O415" s="656">
        <v>0.39424688336717956</v>
      </c>
      <c r="R415" s="655">
        <v>0.43913049932225734</v>
      </c>
      <c r="S415" s="656">
        <v>0.40417450102909547</v>
      </c>
      <c r="V415" s="655">
        <v>0.46271722999999998</v>
      </c>
      <c r="W415" s="656">
        <v>0.41089556900000002</v>
      </c>
      <c r="Z415" s="655">
        <v>0.34774480720276374</v>
      </c>
      <c r="AA415" s="656">
        <v>0.35629968144434865</v>
      </c>
      <c r="AC415" s="655">
        <v>0.38536173655857781</v>
      </c>
      <c r="AD415" s="656">
        <v>0.3805042688370463</v>
      </c>
      <c r="AG415" s="655">
        <v>0.32061180274897594</v>
      </c>
      <c r="AH415" s="656">
        <v>0.33033237683562239</v>
      </c>
      <c r="AK415" s="657">
        <v>0.31861579324977723</v>
      </c>
      <c r="AL415" s="658">
        <v>0.33045865462111335</v>
      </c>
      <c r="AM415" s="646"/>
    </row>
    <row r="416" spans="2:39">
      <c r="B416" s="655">
        <v>0.3161230625397915</v>
      </c>
      <c r="C416" s="656">
        <v>0.32965501465206931</v>
      </c>
      <c r="F416" s="655">
        <v>0.34928643500000001</v>
      </c>
      <c r="G416" s="656">
        <v>0.35697211099999998</v>
      </c>
      <c r="J416" s="655">
        <v>0.38732029191398126</v>
      </c>
      <c r="K416" s="656">
        <v>0.3812163024606619</v>
      </c>
      <c r="N416" s="655">
        <v>0.4134882246813289</v>
      </c>
      <c r="O416" s="656">
        <v>0.39438424421745355</v>
      </c>
      <c r="R416" s="655">
        <v>0.439179983273776</v>
      </c>
      <c r="S416" s="656">
        <v>0.4042972577003886</v>
      </c>
      <c r="V416" s="655">
        <v>0.46275260400000001</v>
      </c>
      <c r="W416" s="656">
        <v>0.41101394899999999</v>
      </c>
      <c r="Z416" s="655">
        <v>0.34777223991351075</v>
      </c>
      <c r="AA416" s="656">
        <v>0.35638281723489862</v>
      </c>
      <c r="AC416" s="655">
        <v>0.38540232388792645</v>
      </c>
      <c r="AD416" s="656">
        <v>0.38059563961956733</v>
      </c>
      <c r="AG416" s="655">
        <v>0.32066968024817299</v>
      </c>
      <c r="AH416" s="656">
        <v>0.33053360103637558</v>
      </c>
      <c r="AK416" s="657">
        <v>0.31867177089965248</v>
      </c>
      <c r="AL416" s="658">
        <v>0.33062502442011549</v>
      </c>
      <c r="AM416" s="646"/>
    </row>
    <row r="417" spans="2:39">
      <c r="B417" s="655">
        <v>0.31615548458783216</v>
      </c>
      <c r="C417" s="656">
        <v>0.32975439331991252</v>
      </c>
      <c r="F417" s="655">
        <v>0.34932333700000001</v>
      </c>
      <c r="G417" s="656">
        <v>0.35709521700000002</v>
      </c>
      <c r="J417" s="655">
        <v>0.3873761814217857</v>
      </c>
      <c r="K417" s="656">
        <v>0.38135200620756077</v>
      </c>
      <c r="N417" s="655">
        <v>0.4135466131855558</v>
      </c>
      <c r="O417" s="656">
        <v>0.39452115295256068</v>
      </c>
      <c r="R417" s="655">
        <v>0.43922785889124111</v>
      </c>
      <c r="S417" s="656">
        <v>0.40441968013635687</v>
      </c>
      <c r="V417" s="655">
        <v>0.46278643899999999</v>
      </c>
      <c r="W417" s="656">
        <v>0.41113195899999999</v>
      </c>
      <c r="Z417" s="655">
        <v>0.34779873679021867</v>
      </c>
      <c r="AA417" s="656">
        <v>0.35646562318882941</v>
      </c>
      <c r="AC417" s="655">
        <v>0.38544181391452237</v>
      </c>
      <c r="AD417" s="656">
        <v>0.380686737581584</v>
      </c>
      <c r="AG417" s="655">
        <v>0.32072500826168748</v>
      </c>
      <c r="AH417" s="656">
        <v>0.33073411439964695</v>
      </c>
      <c r="AK417" s="657">
        <v>0.31872580764638697</v>
      </c>
      <c r="AL417" s="658">
        <v>0.33079065553318754</v>
      </c>
      <c r="AM417" s="646"/>
    </row>
    <row r="418" spans="2:39">
      <c r="B418" s="655">
        <v>0.31618673221791849</v>
      </c>
      <c r="C418" s="656">
        <v>0.32985329850449274</v>
      </c>
      <c r="F418" s="655">
        <v>0.34935880000000002</v>
      </c>
      <c r="G418" s="656">
        <v>0.35721771600000002</v>
      </c>
      <c r="J418" s="655">
        <v>0.38743037237071143</v>
      </c>
      <c r="K418" s="656">
        <v>0.38148717627639672</v>
      </c>
      <c r="N418" s="655">
        <v>0.41360325121573771</v>
      </c>
      <c r="O418" s="656">
        <v>0.39465756786877398</v>
      </c>
      <c r="R418" s="655">
        <v>0.43927411159127577</v>
      </c>
      <c r="S418" s="656">
        <v>0.40454173104594021</v>
      </c>
      <c r="V418" s="655">
        <v>0.46281872400000001</v>
      </c>
      <c r="W418" s="656">
        <v>0.41124956400000001</v>
      </c>
      <c r="Z418" s="655">
        <v>0.34782428976168211</v>
      </c>
      <c r="AA418" s="656">
        <v>0.35654807408264516</v>
      </c>
      <c r="AC418" s="655">
        <v>0.38548019460932081</v>
      </c>
      <c r="AD418" s="656">
        <v>0.38077753497377459</v>
      </c>
      <c r="AG418" s="655">
        <v>0.3207777699360706</v>
      </c>
      <c r="AH418" s="656">
        <v>0.3309338558471237</v>
      </c>
      <c r="AK418" s="657">
        <v>0.31877788702986415</v>
      </c>
      <c r="AL418" s="658">
        <v>0.33095549750748787</v>
      </c>
      <c r="AM418" s="646"/>
    </row>
    <row r="419" spans="2:39">
      <c r="B419" s="655">
        <v>0.31621679591171964</v>
      </c>
      <c r="C419" s="656">
        <v>0.32995170007833263</v>
      </c>
      <c r="F419" s="655">
        <v>0.34939281300000002</v>
      </c>
      <c r="G419" s="656">
        <v>0.35733956900000002</v>
      </c>
      <c r="J419" s="655">
        <v>0.38748284825367035</v>
      </c>
      <c r="K419" s="656">
        <v>0.38162177149305743</v>
      </c>
      <c r="N419" s="655">
        <v>0.41365812151938192</v>
      </c>
      <c r="O419" s="656">
        <v>0.39479344741278855</v>
      </c>
      <c r="R419" s="655">
        <v>0.43931872728485954</v>
      </c>
      <c r="S419" s="656">
        <v>0.4046633732512494</v>
      </c>
      <c r="V419" s="655">
        <v>0.46284945</v>
      </c>
      <c r="W419" s="656">
        <v>0.41136672699999999</v>
      </c>
      <c r="Z419" s="655">
        <v>0.34784889104421846</v>
      </c>
      <c r="AA419" s="656">
        <v>0.35663014480100502</v>
      </c>
      <c r="AC419" s="655">
        <v>0.3855174542811905</v>
      </c>
      <c r="AD419" s="656">
        <v>0.38086800413837385</v>
      </c>
      <c r="AG419" s="655">
        <v>0.32082794919960517</v>
      </c>
      <c r="AH419" s="656">
        <v>0.33113276453562601</v>
      </c>
      <c r="AK419" s="657">
        <v>0.31882799318619937</v>
      </c>
      <c r="AL419" s="658">
        <v>0.33111950013055436</v>
      </c>
      <c r="AM419" s="646"/>
    </row>
    <row r="420" spans="2:39">
      <c r="B420" s="655">
        <v>0.31624566651154318</v>
      </c>
      <c r="C420" s="656">
        <v>0.33004956806735952</v>
      </c>
      <c r="F420" s="655">
        <v>0.34942536699999999</v>
      </c>
      <c r="G420" s="656">
        <v>0.35746074</v>
      </c>
      <c r="J420" s="655">
        <v>0.38753359308600027</v>
      </c>
      <c r="K420" s="656">
        <v>0.38175575085853602</v>
      </c>
      <c r="N420" s="655">
        <v>0.41371120738246242</v>
      </c>
      <c r="O420" s="656">
        <v>0.39492875019437895</v>
      </c>
      <c r="R420" s="655">
        <v>0.43936169238161998</v>
      </c>
      <c r="S420" s="656">
        <v>0.40478456969889021</v>
      </c>
      <c r="V420" s="655">
        <v>0.46287860800000002</v>
      </c>
      <c r="W420" s="656">
        <v>0.41148341199999999</v>
      </c>
      <c r="Z420" s="655">
        <v>0.34787253314403876</v>
      </c>
      <c r="AA420" s="656">
        <v>0.3567118103443731</v>
      </c>
      <c r="AC420" s="655">
        <v>0.38555358158047426</v>
      </c>
      <c r="AD420" s="656">
        <v>0.38095811751759784</v>
      </c>
      <c r="AG420" s="655">
        <v>0.32087553076720143</v>
      </c>
      <c r="AH420" s="656">
        <v>0.33133077987564036</v>
      </c>
      <c r="AK420" s="657">
        <v>0.31887611085257195</v>
      </c>
      <c r="AL420" s="658">
        <v>0.33128261344559923</v>
      </c>
      <c r="AM420" s="646"/>
    </row>
    <row r="421" spans="2:39">
      <c r="B421" s="655">
        <v>0.31627333522312479</v>
      </c>
      <c r="C421" s="656">
        <v>0.33014687266003601</v>
      </c>
      <c r="F421" s="655">
        <v>0.349456451</v>
      </c>
      <c r="G421" s="656">
        <v>0.35758119199999999</v>
      </c>
      <c r="J421" s="655">
        <v>0.38758259141033358</v>
      </c>
      <c r="K421" s="656">
        <v>0.38188907356141988</v>
      </c>
      <c r="N421" s="655">
        <v>0.41376249263451109</v>
      </c>
      <c r="O421" s="656">
        <v>0.39506343499900715</v>
      </c>
      <c r="R421" s="655">
        <v>0.43940299379397241</v>
      </c>
      <c r="S421" s="656">
        <v>0.40490528347125065</v>
      </c>
      <c r="V421" s="655">
        <v>0.462906188</v>
      </c>
      <c r="W421" s="656">
        <v>0.41159958499999999</v>
      </c>
      <c r="Z421" s="655">
        <v>0.3478952088595304</v>
      </c>
      <c r="AA421" s="656">
        <v>0.35679304583663374</v>
      </c>
      <c r="AC421" s="655">
        <v>0.38558856550244691</v>
      </c>
      <c r="AD421" s="656">
        <v>0.38104784766203831</v>
      </c>
      <c r="AG421" s="655">
        <v>0.32092050014505302</v>
      </c>
      <c r="AH421" s="656">
        <v>0.3315278415497761</v>
      </c>
      <c r="AK421" s="657">
        <v>0.31892222537187459</v>
      </c>
      <c r="AL421" s="658">
        <v>0.33144478776672665</v>
      </c>
      <c r="AM421" s="646"/>
    </row>
    <row r="422" spans="2:39">
      <c r="B422" s="655">
        <v>0.31629979361830685</v>
      </c>
      <c r="C422" s="656">
        <v>0.3302435842164404</v>
      </c>
      <c r="F422" s="655">
        <v>0.34948605500000002</v>
      </c>
      <c r="G422" s="656">
        <v>0.35770088799999999</v>
      </c>
      <c r="J422" s="655">
        <v>0.3876298283013061</v>
      </c>
      <c r="K422" s="656">
        <v>0.38202169899032218</v>
      </c>
      <c r="N422" s="655">
        <v>0.41381196165354328</v>
      </c>
      <c r="O422" s="656">
        <v>0.39519746080037704</v>
      </c>
      <c r="R422" s="655">
        <v>0.43944261894110648</v>
      </c>
      <c r="S422" s="656">
        <v>0.40502547779774634</v>
      </c>
      <c r="V422" s="655">
        <v>0.462932183</v>
      </c>
      <c r="W422" s="656">
        <v>0.41171521</v>
      </c>
      <c r="Z422" s="655">
        <v>0.3479169112834507</v>
      </c>
      <c r="AA422" s="656">
        <v>0.35687382653266908</v>
      </c>
      <c r="AC422" s="655">
        <v>0.38562239539066684</v>
      </c>
      <c r="AD422" s="656">
        <v>0.38113716723902402</v>
      </c>
      <c r="AG422" s="655">
        <v>0.32096284363505173</v>
      </c>
      <c r="AH422" s="656">
        <v>0.33172388953113824</v>
      </c>
      <c r="AK422" s="657">
        <v>0.31896632269717806</v>
      </c>
      <c r="AL422" s="658">
        <v>0.33160597369406736</v>
      </c>
      <c r="AM422" s="646"/>
    </row>
    <row r="423" spans="2:39">
      <c r="B423" s="655">
        <v>0.31632503363760595</v>
      </c>
      <c r="C423" s="656">
        <v>0.33033967327729585</v>
      </c>
      <c r="F423" s="655">
        <v>0.34951417099999998</v>
      </c>
      <c r="G423" s="656">
        <v>0.35781979200000003</v>
      </c>
      <c r="J423" s="655">
        <v>0.38767528937010326</v>
      </c>
      <c r="K423" s="656">
        <v>0.38215358674625249</v>
      </c>
      <c r="N423" s="655">
        <v>0.41385959937081668</v>
      </c>
      <c r="O423" s="656">
        <v>0.3953307867729311</v>
      </c>
      <c r="R423" s="655">
        <v>0.43948055575281852</v>
      </c>
      <c r="S423" s="656">
        <v>0.40514511606602099</v>
      </c>
      <c r="V423" s="655">
        <v>0.46295658299999998</v>
      </c>
      <c r="W423" s="656">
        <v>0.41183025200000001</v>
      </c>
      <c r="Z423" s="655">
        <v>0.34793763380503118</v>
      </c>
      <c r="AA423" s="656">
        <v>0.35695412782589658</v>
      </c>
      <c r="AC423" s="655">
        <v>0.38565506094022239</v>
      </c>
      <c r="AD423" s="656">
        <v>0.38122604904094659</v>
      </c>
      <c r="AG423" s="655">
        <v>0.32100254833896036</v>
      </c>
      <c r="AH423" s="656">
        <v>0.33191886410161253</v>
      </c>
      <c r="AK423" s="657">
        <v>0.31900838939600984</v>
      </c>
      <c r="AL423" s="658">
        <v>0.33176612212882639</v>
      </c>
      <c r="AM423" s="646"/>
    </row>
    <row r="424" spans="2:39">
      <c r="B424" s="655">
        <v>0.31634904759266758</v>
      </c>
      <c r="C424" s="656">
        <v>0.33043511057294356</v>
      </c>
      <c r="F424" s="655">
        <v>0.34954079100000002</v>
      </c>
      <c r="G424" s="656">
        <v>0.35793786700000002</v>
      </c>
      <c r="J424" s="655">
        <v>0.38771896076884305</v>
      </c>
      <c r="K424" s="656">
        <v>0.38228469665492271</v>
      </c>
      <c r="N424" s="655">
        <v>0.41390539127542103</v>
      </c>
      <c r="O424" s="656">
        <v>0.39546337230428658</v>
      </c>
      <c r="R424" s="655">
        <v>0.43951679267318816</v>
      </c>
      <c r="S424" s="656">
        <v>0.40526416183309916</v>
      </c>
      <c r="V424" s="655">
        <v>0.46297938300000002</v>
      </c>
      <c r="W424" s="656">
        <v>0.41194467499999998</v>
      </c>
      <c r="Z424" s="655">
        <v>0.34795737011199096</v>
      </c>
      <c r="AA424" s="656">
        <v>0.35703392525576444</v>
      </c>
      <c r="AC424" s="655">
        <v>0.38568655220087072</v>
      </c>
      <c r="AD424" s="656">
        <v>0.38131446599354812</v>
      </c>
      <c r="AG424" s="655">
        <v>0.32103960216234145</v>
      </c>
      <c r="AH424" s="656">
        <v>0.33211270587005598</v>
      </c>
      <c r="AK424" s="657">
        <v>0.319048412654446</v>
      </c>
      <c r="AL424" s="658">
        <v>0.33192518428823925</v>
      </c>
      <c r="AM424" s="646"/>
    </row>
    <row r="425" spans="2:39">
      <c r="B425" s="655">
        <v>0.31637182816860854</v>
      </c>
      <c r="C425" s="656">
        <v>0.33052986703225873</v>
      </c>
      <c r="F425" s="655">
        <v>0.34956590500000001</v>
      </c>
      <c r="G425" s="656">
        <v>0.35805507800000003</v>
      </c>
      <c r="J425" s="655">
        <v>0.38776082919479438</v>
      </c>
      <c r="K425" s="656">
        <v>0.38241498877898467</v>
      </c>
      <c r="N425" s="655">
        <v>0.41394932341869867</v>
      </c>
      <c r="O425" s="656">
        <v>0.39559517700760621</v>
      </c>
      <c r="R425" s="655">
        <v>0.43955131866409852</v>
      </c>
      <c r="S425" s="656">
        <v>0.40538257883648704</v>
      </c>
      <c r="V425" s="655">
        <v>0.463000574</v>
      </c>
      <c r="W425" s="656">
        <v>0.41205844400000002</v>
      </c>
      <c r="Z425" s="655">
        <v>0.34797611419245977</v>
      </c>
      <c r="AA425" s="656">
        <v>0.35711319451520246</v>
      </c>
      <c r="AC425" s="655">
        <v>0.38571685958006879</v>
      </c>
      <c r="AD425" s="656">
        <v>0.3814023911641683</v>
      </c>
      <c r="AG425" s="655">
        <v>0.32107399381824148</v>
      </c>
      <c r="AH425" s="656">
        <v>0.33230535579038822</v>
      </c>
      <c r="AK425" s="657">
        <v>0.31908638028101421</v>
      </c>
      <c r="AL425" s="658">
        <v>0.3320831117204312</v>
      </c>
      <c r="AM425" s="646"/>
    </row>
    <row r="426" spans="2:39">
      <c r="B426" s="655">
        <v>0.31639336842624466</v>
      </c>
      <c r="C426" s="656">
        <v>0.33062391379150596</v>
      </c>
      <c r="F426" s="655">
        <v>0.34958950599999999</v>
      </c>
      <c r="G426" s="656">
        <v>0.35817138900000001</v>
      </c>
      <c r="J426" s="655">
        <v>0.38780088189442913</v>
      </c>
      <c r="K426" s="656">
        <v>0.38254442343019507</v>
      </c>
      <c r="N426" s="655">
        <v>0.41399138241849309</v>
      </c>
      <c r="O426" s="656">
        <v>0.3957261607339006</v>
      </c>
      <c r="R426" s="655">
        <v>0.43958412320859819</v>
      </c>
      <c r="S426" s="656">
        <v>0.40550033100521815</v>
      </c>
      <c r="V426" s="655">
        <v>0.46302015000000002</v>
      </c>
      <c r="W426" s="656">
        <v>0.41217152600000001</v>
      </c>
      <c r="Z426" s="655">
        <v>0.34799386033680912</v>
      </c>
      <c r="AA426" s="656">
        <v>0.35719191145802631</v>
      </c>
      <c r="AC426" s="655">
        <v>0.38574597384589532</v>
      </c>
      <c r="AD426" s="656">
        <v>0.38148979776994846</v>
      </c>
      <c r="AG426" s="655">
        <v>0.32110571283062889</v>
      </c>
      <c r="AH426" s="656">
        <v>0.33249675517957716</v>
      </c>
      <c r="AK426" s="657">
        <v>0.31912228071040777</v>
      </c>
      <c r="AL426" s="658">
        <v>0.33223985631917657</v>
      </c>
      <c r="AM426" s="646"/>
    </row>
    <row r="427" spans="2:39">
      <c r="B427" s="655">
        <v>0.31641366180420477</v>
      </c>
      <c r="C427" s="656">
        <v>0.33071722220313132</v>
      </c>
      <c r="F427" s="655">
        <v>0.34961158799999997</v>
      </c>
      <c r="G427" s="656">
        <v>0.35828676399999998</v>
      </c>
      <c r="J427" s="655">
        <v>0.38783910666730698</v>
      </c>
      <c r="K427" s="656">
        <v>0.3826729611815054</v>
      </c>
      <c r="N427" s="655">
        <v>0.41403155546322562</v>
      </c>
      <c r="O427" s="656">
        <v>0.39585628358425778</v>
      </c>
      <c r="R427" s="655">
        <v>0.43961519631410523</v>
      </c>
      <c r="S427" s="656">
        <v>0.40561738247084128</v>
      </c>
      <c r="V427" s="655">
        <v>0.46303810699999998</v>
      </c>
      <c r="W427" s="656">
        <v>0.41228388500000002</v>
      </c>
      <c r="Z427" s="655">
        <v>0.34801060313939158</v>
      </c>
      <c r="AA427" s="656">
        <v>0.35727005210629276</v>
      </c>
      <c r="AC427" s="655">
        <v>0.38577388612986291</v>
      </c>
      <c r="AD427" s="656">
        <v>0.38157665918598976</v>
      </c>
      <c r="AG427" s="655">
        <v>0.3211347495375852</v>
      </c>
      <c r="AH427" s="656">
        <v>0.33268684573551488</v>
      </c>
      <c r="AK427" s="657">
        <v>0.31915610300700797</v>
      </c>
      <c r="AL427" s="658">
        <v>0.33239537033855215</v>
      </c>
      <c r="AM427" s="646"/>
    </row>
    <row r="428" spans="2:39">
      <c r="B428" s="655">
        <v>0.31643270212092939</v>
      </c>
      <c r="C428" s="656">
        <v>0.33080976384448868</v>
      </c>
      <c r="F428" s="655">
        <v>0.34963214300000001</v>
      </c>
      <c r="G428" s="656">
        <v>0.35840116900000002</v>
      </c>
      <c r="J428" s="655">
        <v>0.38787549186979187</v>
      </c>
      <c r="K428" s="656">
        <v>0.38280056287907138</v>
      </c>
      <c r="N428" s="655">
        <v>0.41406983031579758</v>
      </c>
      <c r="O428" s="656">
        <v>0.39598550592199699</v>
      </c>
      <c r="R428" s="655">
        <v>0.43964452851545061</v>
      </c>
      <c r="S428" s="656">
        <v>0.4057336975783461</v>
      </c>
      <c r="V428" s="655">
        <v>0.46305443699999999</v>
      </c>
      <c r="W428" s="656">
        <v>0.41239548799999998</v>
      </c>
      <c r="Z428" s="655">
        <v>0.34802633750018724</v>
      </c>
      <c r="AA428" s="656">
        <v>0.35734759265760324</v>
      </c>
      <c r="AC428" s="655">
        <v>0.38580058792961941</v>
      </c>
      <c r="AD428" s="656">
        <v>0.38166294895346337</v>
      </c>
      <c r="AG428" s="655">
        <v>0.32116109509424828</v>
      </c>
      <c r="AH428" s="656">
        <v>0.33287556955477648</v>
      </c>
      <c r="AK428" s="657">
        <v>0.31918783686821567</v>
      </c>
      <c r="AL428" s="658">
        <v>0.33254960640748116</v>
      </c>
      <c r="AM428" s="646"/>
    </row>
    <row r="429" spans="2:39">
      <c r="B429" s="655">
        <v>0.31645048357655359</v>
      </c>
      <c r="C429" s="656">
        <v>0.33090151052649769</v>
      </c>
      <c r="F429" s="655">
        <v>0.34965116499999999</v>
      </c>
      <c r="G429" s="656">
        <v>0.35851456799999998</v>
      </c>
      <c r="J429" s="655">
        <v>0.38791002641859856</v>
      </c>
      <c r="K429" s="656">
        <v>0.38292718965417988</v>
      </c>
      <c r="N429" s="655">
        <v>0.41410619531731818</v>
      </c>
      <c r="O429" s="656">
        <v>0.39611378838474248</v>
      </c>
      <c r="R429" s="655">
        <v>0.4396721108777617</v>
      </c>
      <c r="S429" s="656">
        <v>0.40584924089702407</v>
      </c>
      <c r="V429" s="655">
        <v>0.46306913599999999</v>
      </c>
      <c r="W429" s="656">
        <v>0.41250629999999999</v>
      </c>
      <c r="Z429" s="655">
        <v>0.34804105862635737</v>
      </c>
      <c r="AA429" s="656">
        <v>0.35742450949235477</v>
      </c>
      <c r="AC429" s="655">
        <v>0.38582607111153799</v>
      </c>
      <c r="AD429" s="656">
        <v>0.38174864078767023</v>
      </c>
      <c r="AG429" s="655">
        <v>0.32118474147550624</v>
      </c>
      <c r="AH429" s="656">
        <v>0.33306286915025846</v>
      </c>
      <c r="AK429" s="657">
        <v>0.31921747262758932</v>
      </c>
      <c r="AL429" s="658">
        <v>0.33270251754416286</v>
      </c>
      <c r="AM429" s="646"/>
    </row>
    <row r="430" spans="2:39">
      <c r="B430" s="655">
        <v>0.31646700075467377</v>
      </c>
      <c r="C430" s="656">
        <v>0.33099243430223024</v>
      </c>
      <c r="F430" s="655">
        <v>0.349668649</v>
      </c>
      <c r="G430" s="656">
        <v>0.35862692699999998</v>
      </c>
      <c r="J430" s="655">
        <v>0.38794269979416901</v>
      </c>
      <c r="K430" s="656">
        <v>0.38305280293508848</v>
      </c>
      <c r="N430" s="655">
        <v>0.4141406393906556</v>
      </c>
      <c r="O430" s="656">
        <v>0.39624109189641327</v>
      </c>
      <c r="R430" s="655">
        <v>0.43969793499918369</v>
      </c>
      <c r="S430" s="656">
        <v>0.40596397723126104</v>
      </c>
      <c r="V430" s="655">
        <v>0.46308219900000003</v>
      </c>
      <c r="W430" s="656">
        <v>0.412616288</v>
      </c>
      <c r="Z430" s="655">
        <v>0.34805476203370433</v>
      </c>
      <c r="AA430" s="656">
        <v>0.35750077918093437</v>
      </c>
      <c r="AC430" s="655">
        <v>0.38585032791319457</v>
      </c>
      <c r="AD430" s="656">
        <v>0.38183370858604759</v>
      </c>
      <c r="AG430" s="655">
        <v>0.32120568147844236</v>
      </c>
      <c r="AH430" s="656">
        <v>0.33324868746868958</v>
      </c>
      <c r="AK430" s="657">
        <v>0.3192450012577896</v>
      </c>
      <c r="AL430" s="658">
        <v>0.33285405717038374</v>
      </c>
      <c r="AM430" s="646"/>
    </row>
    <row r="431" spans="2:39">
      <c r="B431" s="655">
        <v>0.31648224862399738</v>
      </c>
      <c r="C431" s="656">
        <v>0.33108250747542339</v>
      </c>
      <c r="F431" s="655">
        <v>0.34968458899999999</v>
      </c>
      <c r="G431" s="656">
        <v>0.35873821099999997</v>
      </c>
      <c r="J431" s="655">
        <v>0.38797350204387648</v>
      </c>
      <c r="K431" s="656">
        <v>0.38317736445877504</v>
      </c>
      <c r="N431" s="655">
        <v>0.4141731520438115</v>
      </c>
      <c r="O431" s="656">
        <v>0.3963673776791265</v>
      </c>
      <c r="R431" s="655">
        <v>0.43972199301343912</v>
      </c>
      <c r="S431" s="656">
        <v>0.40607787163125814</v>
      </c>
      <c r="V431" s="655">
        <v>0.46309362300000001</v>
      </c>
      <c r="W431" s="656">
        <v>0.41272541800000001</v>
      </c>
      <c r="Z431" s="655">
        <v>0.34806744354803754</v>
      </c>
      <c r="AA431" s="656">
        <v>0.357576378490856</v>
      </c>
      <c r="AC431" s="655">
        <v>0.38587335094573239</v>
      </c>
      <c r="AD431" s="656">
        <v>0.38191812643611989</v>
      </c>
      <c r="AG431" s="655">
        <v>0.32122390872452888</v>
      </c>
      <c r="AH431" s="656">
        <v>0.33343296790800997</v>
      </c>
      <c r="AK431" s="657">
        <v>0.31927041437332898</v>
      </c>
      <c r="AL431" s="658">
        <v>0.33300417912570562</v>
      </c>
      <c r="AM431" s="646"/>
    </row>
    <row r="432" spans="2:39">
      <c r="B432" s="655">
        <v>0.3164962225398758</v>
      </c>
      <c r="C432" s="656">
        <v>0.33117170260891604</v>
      </c>
      <c r="F432" s="655">
        <v>0.34969897999999999</v>
      </c>
      <c r="G432" s="656">
        <v>0.35884838699999999</v>
      </c>
      <c r="J432" s="655">
        <v>0.38800242378505734</v>
      </c>
      <c r="K432" s="656">
        <v>0.38330083628259271</v>
      </c>
      <c r="N432" s="655">
        <v>0.41420372337311673</v>
      </c>
      <c r="O432" s="656">
        <v>0.39649260726500946</v>
      </c>
      <c r="R432" s="655">
        <v>0.43974427759222373</v>
      </c>
      <c r="S432" s="656">
        <v>0.40619088940367776</v>
      </c>
      <c r="V432" s="655">
        <v>0.463103404</v>
      </c>
      <c r="W432" s="656">
        <v>0.41283365700000002</v>
      </c>
      <c r="Z432" s="655">
        <v>0.34807909930644482</v>
      </c>
      <c r="AA432" s="656">
        <v>0.35765128439383753</v>
      </c>
      <c r="AC432" s="655">
        <v>0.38589513319611268</v>
      </c>
      <c r="AD432" s="656">
        <v>0.3820018686233923</v>
      </c>
      <c r="AG432" s="655">
        <v>0.32123941766157005</v>
      </c>
      <c r="AH432" s="656">
        <v>0.33361565433461271</v>
      </c>
      <c r="AK432" s="657">
        <v>0.31929370423312631</v>
      </c>
      <c r="AL432" s="658">
        <v>0.33315283768152676</v>
      </c>
      <c r="AM432" s="646"/>
    </row>
    <row r="433" spans="2:39">
      <c r="B433" s="655">
        <v>0.31650891824571886</v>
      </c>
      <c r="C433" s="656">
        <v>0.33125999253300648</v>
      </c>
      <c r="F433" s="655">
        <v>0.34971181699999998</v>
      </c>
      <c r="G433" s="656">
        <v>0.35895742200000003</v>
      </c>
      <c r="J433" s="655">
        <v>0.38802945620786905</v>
      </c>
      <c r="K433" s="656">
        <v>0.38342318079582788</v>
      </c>
      <c r="N433" s="655">
        <v>0.41423234406624826</v>
      </c>
      <c r="O433" s="656">
        <v>0.39661674250791712</v>
      </c>
      <c r="R433" s="655">
        <v>0.43976478194743895</v>
      </c>
      <c r="S433" s="656">
        <v>0.4063029961222116</v>
      </c>
      <c r="V433" s="655">
        <v>0.46311153900000002</v>
      </c>
      <c r="W433" s="656">
        <v>0.41294097200000002</v>
      </c>
      <c r="Z433" s="655">
        <v>0.34808972575846936</v>
      </c>
      <c r="AA433" s="656">
        <v>0.3577254740728153</v>
      </c>
      <c r="AC433" s="655">
        <v>0.38591566802925098</v>
      </c>
      <c r="AD433" s="656">
        <v>0.38208490963918335</v>
      </c>
      <c r="AG433" s="655">
        <v>0.32125220356539347</v>
      </c>
      <c r="AH433" s="656">
        <v>0.33379669110044252</v>
      </c>
      <c r="AK433" s="657">
        <v>0.31931486374286472</v>
      </c>
      <c r="AL433" s="658">
        <v>0.33329998755501083</v>
      </c>
      <c r="AM433" s="646"/>
    </row>
    <row r="434" spans="2:39">
      <c r="B434" s="655">
        <v>0.31652033187429152</v>
      </c>
      <c r="C434" s="656">
        <v>0.33134735035372859</v>
      </c>
      <c r="F434" s="655">
        <v>0.34972309800000001</v>
      </c>
      <c r="G434" s="656">
        <v>0.35906528100000001</v>
      </c>
      <c r="J434" s="655">
        <v>0.38805459107797374</v>
      </c>
      <c r="K434" s="656">
        <v>0.38354436073115666</v>
      </c>
      <c r="N434" s="655">
        <v>0.41425900540506566</v>
      </c>
      <c r="O434" s="656">
        <v>0.39673974559505198</v>
      </c>
      <c r="R434" s="655">
        <v>0.43978349983325959</v>
      </c>
      <c r="S434" s="656">
        <v>0.40641415763806726</v>
      </c>
      <c r="V434" s="655">
        <v>0.46311802600000002</v>
      </c>
      <c r="W434" s="656">
        <v>0.41304732900000002</v>
      </c>
      <c r="Z434" s="655">
        <v>0.34809931966719082</v>
      </c>
      <c r="AA434" s="656">
        <v>0.35779892492889442</v>
      </c>
      <c r="AC434" s="655">
        <v>0.38593494919003823</v>
      </c>
      <c r="AD434" s="656">
        <v>0.3821672241883951</v>
      </c>
      <c r="AG434" s="655">
        <v>0.32126226254128887</v>
      </c>
      <c r="AH434" s="656">
        <v>0.33397602305994678</v>
      </c>
      <c r="AK434" s="657">
        <v>0.31933388645715255</v>
      </c>
      <c r="AL434" s="658">
        <v>0.33344558392288098</v>
      </c>
      <c r="AM434" s="646"/>
    </row>
    <row r="435" spans="2:39">
      <c r="B435" s="655">
        <v>0.31653045994889206</v>
      </c>
      <c r="C435" s="656">
        <v>0.33143374946104387</v>
      </c>
      <c r="F435" s="655">
        <v>0.349732818</v>
      </c>
      <c r="G435" s="656">
        <v>0.359171933</v>
      </c>
      <c r="J435" s="655">
        <v>0.38807782073904651</v>
      </c>
      <c r="K435" s="656">
        <v>0.3836643391759969</v>
      </c>
      <c r="N435" s="655">
        <v>0.41428369926826691</v>
      </c>
      <c r="O435" s="656">
        <v>0.39686157905848213</v>
      </c>
      <c r="R435" s="655">
        <v>0.43980042554803622</v>
      </c>
      <c r="S435" s="656">
        <v>0.40652434009037008</v>
      </c>
      <c r="V435" s="655">
        <v>0.46312286200000002</v>
      </c>
      <c r="W435" s="656">
        <v>0.41315269799999998</v>
      </c>
      <c r="Z435" s="655">
        <v>0.34810787811021165</v>
      </c>
      <c r="AA435" s="656">
        <v>0.35787161458823252</v>
      </c>
      <c r="AC435" s="655">
        <v>0.38595297080524604</v>
      </c>
      <c r="AD435" s="656">
        <v>0.38224878719721855</v>
      </c>
      <c r="AG435" s="655">
        <v>0.3212695915251948</v>
      </c>
      <c r="AH435" s="656">
        <v>0.33415359558687335</v>
      </c>
      <c r="AK435" s="657">
        <v>0.31935076658148676</v>
      </c>
      <c r="AL435" s="658">
        <v>0.33358958243507308</v>
      </c>
      <c r="AM435" s="646"/>
    </row>
    <row r="436" spans="2:39">
      <c r="B436" s="655">
        <v>0.31653929938441072</v>
      </c>
      <c r="C436" s="656">
        <v>0.33151916353694727</v>
      </c>
      <c r="F436" s="655">
        <v>0.34974097399999998</v>
      </c>
      <c r="G436" s="656">
        <v>0.359277344</v>
      </c>
      <c r="J436" s="655">
        <v>0.38809913811510749</v>
      </c>
      <c r="K436" s="656">
        <v>0.38378307958375196</v>
      </c>
      <c r="N436" s="655">
        <v>0.41430641813386204</v>
      </c>
      <c r="O436" s="656">
        <v>0.39698220578655441</v>
      </c>
      <c r="R436" s="655">
        <v>0.43981555393603228</v>
      </c>
      <c r="S436" s="656">
        <v>0.40663350991647779</v>
      </c>
      <c r="V436" s="655">
        <v>0.46312604699999999</v>
      </c>
      <c r="W436" s="656">
        <v>0.41325704600000002</v>
      </c>
      <c r="Z436" s="655">
        <v>0.34811539848054734</v>
      </c>
      <c r="AA436" s="656">
        <v>0.35794352090885528</v>
      </c>
      <c r="AC436" s="655">
        <v>0.38596972738531582</v>
      </c>
      <c r="AD436" s="656">
        <v>0.3823295738207711</v>
      </c>
      <c r="AG436" s="655">
        <v>0.32127418828463183</v>
      </c>
      <c r="AH436" s="656">
        <v>0.3343293545909104</v>
      </c>
      <c r="AK436" s="657">
        <v>0.31936549897401789</v>
      </c>
      <c r="AL436" s="658">
        <v>0.3337319392282454</v>
      </c>
      <c r="AM436" s="646"/>
    </row>
    <row r="437" spans="2:39">
      <c r="B437" s="655">
        <v>0.31654684748826994</v>
      </c>
      <c r="C437" s="656">
        <v>0.33160356656348383</v>
      </c>
      <c r="F437" s="655">
        <v>0.34974756499999998</v>
      </c>
      <c r="G437" s="656">
        <v>0.359381483</v>
      </c>
      <c r="J437" s="655">
        <v>0.38811853671267754</v>
      </c>
      <c r="K437" s="656">
        <v>0.38390054578494337</v>
      </c>
      <c r="N437" s="655">
        <v>0.4143271550814645</v>
      </c>
      <c r="O437" s="656">
        <v>0.39710158903519888</v>
      </c>
      <c r="R437" s="655">
        <v>0.43982888038899415</v>
      </c>
      <c r="S437" s="656">
        <v>0.4067416338622038</v>
      </c>
      <c r="V437" s="655">
        <v>0.46312757900000001</v>
      </c>
      <c r="W437" s="656">
        <v>0.41336033999999999</v>
      </c>
      <c r="Z437" s="655">
        <v>0.3481218784874201</v>
      </c>
      <c r="AA437" s="656">
        <v>0.35801462198740086</v>
      </c>
      <c r="AC437" s="655">
        <v>0.38598521382603096</v>
      </c>
      <c r="AD437" s="656">
        <v>0.38240955945066457</v>
      </c>
      <c r="AG437" s="655">
        <v>0.32127605141938242</v>
      </c>
      <c r="AH437" s="656">
        <v>0.33450324653416263</v>
      </c>
      <c r="AK437" s="657">
        <v>0.31937807914711652</v>
      </c>
      <c r="AL437" s="658">
        <v>0.33387261093913972</v>
      </c>
      <c r="AM437" s="646"/>
    </row>
    <row r="438" spans="2:39">
      <c r="B438" s="655">
        <v>0.31655310196124403</v>
      </c>
      <c r="C438" s="656">
        <v>0.33168693283067407</v>
      </c>
      <c r="F438" s="655">
        <v>0.349752587</v>
      </c>
      <c r="G438" s="656">
        <v>0.35948431800000002</v>
      </c>
      <c r="J438" s="655">
        <v>0.38813601062275588</v>
      </c>
      <c r="K438" s="656">
        <v>0.3840167019982284</v>
      </c>
      <c r="N438" s="655">
        <v>0.41434590379439917</v>
      </c>
      <c r="O438" s="656">
        <v>0.39721969243912153</v>
      </c>
      <c r="R438" s="655">
        <v>0.43984040084755516</v>
      </c>
      <c r="S438" s="656">
        <v>0.40684867899194677</v>
      </c>
      <c r="V438" s="655">
        <v>0.46312745700000002</v>
      </c>
      <c r="W438" s="656">
        <v>0.41346254999999998</v>
      </c>
      <c r="Z438" s="655">
        <v>0.34812731615695713</v>
      </c>
      <c r="AA438" s="656">
        <v>0.35808489616579192</v>
      </c>
      <c r="AC438" s="655">
        <v>0.38599942541007165</v>
      </c>
      <c r="AD438" s="656">
        <v>0.38248871972250126</v>
      </c>
      <c r="AG438" s="655">
        <v>0.32127518036191766</v>
      </c>
      <c r="AH438" s="656">
        <v>0.33467521844745968</v>
      </c>
      <c r="AK438" s="657">
        <v>0.31938850326874008</v>
      </c>
      <c r="AL438" s="658">
        <v>0.33401155471779015</v>
      </c>
      <c r="AM438" s="646"/>
    </row>
    <row r="439" spans="2:39">
      <c r="B439" s="655">
        <v>0.31655806089816008</v>
      </c>
      <c r="C439" s="656">
        <v>0.33176923694434546</v>
      </c>
      <c r="F439" s="655">
        <v>0.34975603999999999</v>
      </c>
      <c r="G439" s="656">
        <v>0.35958581699999997</v>
      </c>
      <c r="J439" s="655">
        <v>0.38815155452262018</v>
      </c>
      <c r="K439" s="656">
        <v>0.38413151284129926</v>
      </c>
      <c r="N439" s="655">
        <v>0.41436265856162652</v>
      </c>
      <c r="O439" s="656">
        <v>0.39733648002288141</v>
      </c>
      <c r="R439" s="655">
        <v>0.43985011180247202</v>
      </c>
      <c r="S439" s="656">
        <v>0.40695461269872329</v>
      </c>
      <c r="V439" s="655">
        <v>0.46312568199999998</v>
      </c>
      <c r="W439" s="656">
        <v>0.41356364400000001</v>
      </c>
      <c r="Z439" s="655">
        <v>0.34813170983279157</v>
      </c>
      <c r="AA439" s="656">
        <v>0.35815432203783298</v>
      </c>
      <c r="AC439" s="655">
        <v>0.38601235780845167</v>
      </c>
      <c r="AD439" s="656">
        <v>0.3825670305232956</v>
      </c>
      <c r="AG439" s="655">
        <v>0.32127157537757017</v>
      </c>
      <c r="AH439" s="656">
        <v>0.3348452179464908</v>
      </c>
      <c r="AK439" s="657">
        <v>0.31939676816360008</v>
      </c>
      <c r="AL439" s="658">
        <v>0.33414872824057579</v>
      </c>
      <c r="AM439" s="646"/>
    </row>
    <row r="440" spans="2:39">
      <c r="B440" s="655">
        <v>0.31656172278847772</v>
      </c>
      <c r="C440" s="656">
        <v>0.33185045383386758</v>
      </c>
      <c r="F440" s="655">
        <v>0.34975792300000003</v>
      </c>
      <c r="G440" s="656">
        <v>0.35968594999999998</v>
      </c>
      <c r="J440" s="655">
        <v>0.38816516367744802</v>
      </c>
      <c r="K440" s="656">
        <v>0.38424494334166087</v>
      </c>
      <c r="N440" s="655">
        <v>0.41437741427948205</v>
      </c>
      <c r="O440" s="656">
        <v>0.39745191621184917</v>
      </c>
      <c r="R440" s="655">
        <v>0.43985801029569388</v>
      </c>
      <c r="S440" s="656">
        <v>0.40705940271410002</v>
      </c>
      <c r="V440" s="655">
        <v>0.46312225499999998</v>
      </c>
      <c r="W440" s="656">
        <v>0.41366359200000002</v>
      </c>
      <c r="Z440" s="655">
        <v>0.34813505817656726</v>
      </c>
      <c r="AA440" s="656">
        <v>0.35822287845573092</v>
      </c>
      <c r="AC440" s="655">
        <v>0.38602400708183726</v>
      </c>
      <c r="AD440" s="656">
        <v>0.38264446799881896</v>
      </c>
      <c r="AG440" s="655">
        <v>0.32126523756445308</v>
      </c>
      <c r="AH440" s="656">
        <v>0.33501319324776174</v>
      </c>
      <c r="AK440" s="657">
        <v>0.31940287131412953</v>
      </c>
      <c r="AL440" s="658">
        <v>0.33428408972311269</v>
      </c>
      <c r="AM440" s="646"/>
    </row>
    <row r="441" spans="2:39">
      <c r="B441" s="655">
        <v>0.31656408651674978</v>
      </c>
      <c r="C441" s="656">
        <v>0.33193055875978922</v>
      </c>
      <c r="F441" s="655">
        <v>0.349758234</v>
      </c>
      <c r="G441" s="656">
        <v>0.35978468499999999</v>
      </c>
      <c r="J441" s="655">
        <v>0.388176833941759</v>
      </c>
      <c r="K441" s="656">
        <v>0.384356958947284</v>
      </c>
      <c r="N441" s="655">
        <v>0.41439016645323123</v>
      </c>
      <c r="O441" s="656">
        <v>0.39756596584304338</v>
      </c>
      <c r="R441" s="655">
        <v>0.43986409392126308</v>
      </c>
      <c r="S441" s="656">
        <v>0.40716301711802311</v>
      </c>
      <c r="V441" s="655">
        <v>0.46311717499999999</v>
      </c>
      <c r="W441" s="656">
        <v>0.41376236300000002</v>
      </c>
      <c r="Z441" s="655">
        <v>0.34813736016834618</v>
      </c>
      <c r="AA441" s="656">
        <v>0.35829054453653664</v>
      </c>
      <c r="AC441" s="655">
        <v>0.38603436968174676</v>
      </c>
      <c r="AD441" s="656">
        <v>0.38272100856086616</v>
      </c>
      <c r="AG441" s="655">
        <v>0.32125616885312569</v>
      </c>
      <c r="AH441" s="656">
        <v>0.3351790931843685</v>
      </c>
      <c r="AK441" s="657">
        <v>0.31940681086124961</v>
      </c>
      <c r="AL441" s="658">
        <v>0.33441759793298204</v>
      </c>
      <c r="AM441" s="646"/>
    </row>
    <row r="442" spans="2:39">
      <c r="B442" s="655">
        <v>0.31656515136296171</v>
      </c>
      <c r="C442" s="656">
        <v>0.33200952732137384</v>
      </c>
      <c r="F442" s="655">
        <v>0.349756974</v>
      </c>
      <c r="G442" s="656">
        <v>0.35988199399999998</v>
      </c>
      <c r="J442" s="655">
        <v>0.38818656176067751</v>
      </c>
      <c r="K442" s="656">
        <v>0.38446752553713015</v>
      </c>
      <c r="N442" s="655">
        <v>0.41440091119843836</v>
      </c>
      <c r="O442" s="656">
        <v>0.39767859417584162</v>
      </c>
      <c r="R442" s="655">
        <v>0.43986836082604841</v>
      </c>
      <c r="S442" s="656">
        <v>0.40726542434854146</v>
      </c>
      <c r="V442" s="655">
        <v>0.46311044600000001</v>
      </c>
      <c r="W442" s="656">
        <v>0.41385992700000002</v>
      </c>
      <c r="Z442" s="655">
        <v>0.3481386151069194</v>
      </c>
      <c r="AA442" s="656">
        <v>0.35835729966850649</v>
      </c>
      <c r="AC442" s="655">
        <v>0.38604344245163202</v>
      </c>
      <c r="AD442" s="656">
        <v>0.38279662889444055</v>
      </c>
      <c r="AG442" s="655">
        <v>0.3212443720060052</v>
      </c>
      <c r="AH442" s="656">
        <v>0.3353428672215833</v>
      </c>
      <c r="AK442" s="657">
        <v>0.31940858560493612</v>
      </c>
      <c r="AL442" s="658">
        <v>0.33454921220228973</v>
      </c>
      <c r="AM442" s="646"/>
    </row>
    <row r="443" spans="2:39">
      <c r="B443" s="655">
        <v>0.31656491700275102</v>
      </c>
      <c r="C443" s="656">
        <v>0.33208733546403268</v>
      </c>
      <c r="F443" s="655">
        <v>0.34975414300000002</v>
      </c>
      <c r="G443" s="656">
        <v>0.35997784599999999</v>
      </c>
      <c r="J443" s="655">
        <v>0.38819434417101573</v>
      </c>
      <c r="K443" s="656">
        <v>0.38457660943154487</v>
      </c>
      <c r="N443" s="655">
        <v>0.41440964524215002</v>
      </c>
      <c r="O443" s="656">
        <v>0.39778976690256257</v>
      </c>
      <c r="R443" s="655">
        <v>0.43987080971030934</v>
      </c>
      <c r="S443" s="656">
        <v>0.40736659321142066</v>
      </c>
      <c r="V443" s="655">
        <v>0.46310206799999998</v>
      </c>
      <c r="W443" s="656">
        <v>0.413956255</v>
      </c>
      <c r="Z443" s="655">
        <v>0.34813882261002038</v>
      </c>
      <c r="AA443" s="656">
        <v>0.35842312351738059</v>
      </c>
      <c r="AC443" s="655">
        <v>0.38605122262783931</v>
      </c>
      <c r="AD443" s="656">
        <v>0.38287130596485602</v>
      </c>
      <c r="AG443" s="655">
        <v>0.32122985061652565</v>
      </c>
      <c r="AH443" s="656">
        <v>0.33550446547224794</v>
      </c>
      <c r="AK443" s="657">
        <v>0.319408195004585</v>
      </c>
      <c r="AL443" s="658">
        <v>0.33467889244005444</v>
      </c>
      <c r="AM443" s="646"/>
    </row>
    <row r="444" spans="2:39">
      <c r="B444" s="655">
        <v>0.31656338350750612</v>
      </c>
      <c r="C444" s="656">
        <v>0.33216395948665167</v>
      </c>
      <c r="F444" s="655">
        <v>0.34974974199999997</v>
      </c>
      <c r="G444" s="656">
        <v>0.360072212</v>
      </c>
      <c r="J444" s="655">
        <v>0.388200178802176</v>
      </c>
      <c r="K444" s="656">
        <v>0.38468417740251726</v>
      </c>
      <c r="N444" s="655">
        <v>0.41441636592389181</v>
      </c>
      <c r="O444" s="656">
        <v>0.39789945015891676</v>
      </c>
      <c r="R444" s="655">
        <v>0.43987143982809196</v>
      </c>
      <c r="S444" s="656">
        <v>0.40746649288964487</v>
      </c>
      <c r="V444" s="655">
        <v>0.46309204500000001</v>
      </c>
      <c r="W444" s="656">
        <v>0.414051316</v>
      </c>
      <c r="Z444" s="655">
        <v>0.34813798261444179</v>
      </c>
      <c r="AA444" s="656">
        <v>0.35848799603257692</v>
      </c>
      <c r="AC444" s="655">
        <v>0.38605770784045168</v>
      </c>
      <c r="AD444" s="656">
        <v>0.38294501702475342</v>
      </c>
      <c r="AG444" s="655">
        <v>0.32121260910804289</v>
      </c>
      <c r="AH444" s="656">
        <v>0.33566383871196975</v>
      </c>
      <c r="AK444" s="657">
        <v>0.3194056391791768</v>
      </c>
      <c r="AL444" s="658">
        <v>0.33480659914441946</v>
      </c>
      <c r="AM444" s="646"/>
    </row>
    <row r="445" spans="2:39">
      <c r="B445" s="655">
        <v>0.31656055134434447</v>
      </c>
      <c r="C445" s="656">
        <v>0.33223937604881132</v>
      </c>
      <c r="F445" s="655">
        <v>0.34974377299999998</v>
      </c>
      <c r="G445" s="656">
        <v>0.36016506399999998</v>
      </c>
      <c r="J445" s="655">
        <v>0.38820406387687328</v>
      </c>
      <c r="K445" s="656">
        <v>0.38479019668380132</v>
      </c>
      <c r="N445" s="655">
        <v>0.41442107119647903</v>
      </c>
      <c r="O445" s="656">
        <v>0.39800761053432182</v>
      </c>
      <c r="R445" s="655">
        <v>0.4398702509874563</v>
      </c>
      <c r="S445" s="656">
        <v>0.40756509295280452</v>
      </c>
      <c r="V445" s="655">
        <v>0.46308038000000001</v>
      </c>
      <c r="W445" s="656">
        <v>0.414145082</v>
      </c>
      <c r="Z445" s="655">
        <v>0.34813609537605433</v>
      </c>
      <c r="AA445" s="656">
        <v>0.35855189745329896</v>
      </c>
      <c r="AC445" s="655">
        <v>0.38606289611401046</v>
      </c>
      <c r="AD445" s="656">
        <v>0.38301773962102992</v>
      </c>
      <c r="AG445" s="655">
        <v>0.32119265273248743</v>
      </c>
      <c r="AH445" s="656">
        <v>0.33582093839411609</v>
      </c>
      <c r="AK445" s="657">
        <v>0.31940091890724082</v>
      </c>
      <c r="AL445" s="658">
        <v>0.33493229341468556</v>
      </c>
      <c r="AM445" s="646"/>
    </row>
    <row r="446" spans="2:39">
      <c r="B446" s="655">
        <v>0.31655642137597051</v>
      </c>
      <c r="C446" s="656">
        <v>0.3323135621778962</v>
      </c>
      <c r="F446" s="655">
        <v>0.34973623599999998</v>
      </c>
      <c r="G446" s="656">
        <v>0.36025637300000002</v>
      </c>
      <c r="J446" s="655">
        <v>0.38820599821167606</v>
      </c>
      <c r="K446" s="656">
        <v>0.38489463498089693</v>
      </c>
      <c r="N446" s="655">
        <v>0.41442375962664002</v>
      </c>
      <c r="O446" s="656">
        <v>0.39811421508207956</v>
      </c>
      <c r="R446" s="655">
        <v>0.43986724355053475</v>
      </c>
      <c r="S446" s="656">
        <v>0.40766236336636513</v>
      </c>
      <c r="V446" s="655">
        <v>0.46306707600000002</v>
      </c>
      <c r="W446" s="656">
        <v>0.414237525</v>
      </c>
      <c r="Z446" s="655">
        <v>0.34813316146972911</v>
      </c>
      <c r="AA446" s="656">
        <v>0.35861480831455483</v>
      </c>
      <c r="AC446" s="655">
        <v>0.38606678586811732</v>
      </c>
      <c r="AD446" s="656">
        <v>0.38308945160167818</v>
      </c>
      <c r="AG446" s="655">
        <v>0.32116998756876464</v>
      </c>
      <c r="AH446" s="656">
        <v>0.33597571666460185</v>
      </c>
      <c r="AK446" s="657">
        <v>0.3193940356266175</v>
      </c>
      <c r="AL446" s="658">
        <v>0.33505593696316033</v>
      </c>
      <c r="AM446" s="646"/>
    </row>
    <row r="447" spans="2:39">
      <c r="B447" s="655">
        <v>0.31655099486041249</v>
      </c>
      <c r="C447" s="656">
        <v>0.33238649527609271</v>
      </c>
      <c r="F447" s="655">
        <v>0.34972713500000002</v>
      </c>
      <c r="G447" s="656">
        <v>0.36034611100000002</v>
      </c>
      <c r="J447" s="655">
        <v>0.38820598121736727</v>
      </c>
      <c r="K447" s="656">
        <v>0.38499746048088707</v>
      </c>
      <c r="N447" s="655">
        <v>0.41442443039545296</v>
      </c>
      <c r="O447" s="656">
        <v>0.39821923132941212</v>
      </c>
      <c r="R447" s="655">
        <v>0.43986241843342166</v>
      </c>
      <c r="S447" s="656">
        <v>0.40775827450081642</v>
      </c>
      <c r="V447" s="655">
        <v>0.463052136</v>
      </c>
      <c r="W447" s="656">
        <v>0.41432861599999998</v>
      </c>
      <c r="Z447" s="655">
        <v>0.34812918178916247</v>
      </c>
      <c r="AA447" s="656">
        <v>0.35867670945308683</v>
      </c>
      <c r="AC447" s="655">
        <v>0.38606937591791551</v>
      </c>
      <c r="AD447" s="656">
        <v>0.38316013112253422</v>
      </c>
      <c r="AG447" s="655">
        <v>0.32114462052090281</v>
      </c>
      <c r="AH447" s="656">
        <v>0.33612812637646655</v>
      </c>
      <c r="AK447" s="657">
        <v>0.31938499143402083</v>
      </c>
      <c r="AL447" s="658">
        <v>0.33517749212682119</v>
      </c>
      <c r="AM447" s="646"/>
    </row>
    <row r="448" spans="2:39">
      <c r="B448" s="655">
        <v>0.31654427345063973</v>
      </c>
      <c r="C448" s="656">
        <v>0.33245815312727262</v>
      </c>
      <c r="F448" s="655">
        <v>0.34971647300000003</v>
      </c>
      <c r="G448" s="656">
        <v>0.36043425099999998</v>
      </c>
      <c r="J448" s="655">
        <v>0.38820401289912354</v>
      </c>
      <c r="K448" s="656">
        <v>0.38509864186212833</v>
      </c>
      <c r="N448" s="655">
        <v>0.41442308329859512</v>
      </c>
      <c r="O448" s="656">
        <v>0.39832262728735313</v>
      </c>
      <c r="R448" s="655">
        <v>0.43985577710589457</v>
      </c>
      <c r="S448" s="656">
        <v>0.40785279714069783</v>
      </c>
      <c r="V448" s="655">
        <v>0.46303556699999998</v>
      </c>
      <c r="W448" s="656">
        <v>0.41441832699999998</v>
      </c>
      <c r="Z448" s="655">
        <v>0.34812415754660359</v>
      </c>
      <c r="AA448" s="656">
        <v>0.35873758201320849</v>
      </c>
      <c r="AC448" s="655">
        <v>0.38607066547445068</v>
      </c>
      <c r="AD448" s="656">
        <v>0.38322975665393127</v>
      </c>
      <c r="AG448" s="655">
        <v>0.32111655931595062</v>
      </c>
      <c r="AH448" s="656">
        <v>0.33627812110423549</v>
      </c>
      <c r="AK448" s="657">
        <v>0.31937378908439956</v>
      </c>
      <c r="AL448" s="658">
        <v>0.33529692187878773</v>
      </c>
      <c r="AM448" s="646"/>
    </row>
    <row r="449" spans="2:39">
      <c r="B449" s="655">
        <v>0.3165362591940587</v>
      </c>
      <c r="C449" s="656">
        <v>0.33252851390376031</v>
      </c>
      <c r="F449" s="655">
        <v>0.34970425199999999</v>
      </c>
      <c r="G449" s="656">
        <v>0.36052076700000002</v>
      </c>
      <c r="J449" s="655">
        <v>0.38820009385651366</v>
      </c>
      <c r="K449" s="656">
        <v>0.3851981483037919</v>
      </c>
      <c r="N449" s="655">
        <v>0.41441971874640532</v>
      </c>
      <c r="O449" s="656">
        <v>0.39842437146049225</v>
      </c>
      <c r="R449" s="655">
        <v>0.43984732159096612</v>
      </c>
      <c r="S449" s="656">
        <v>0.40794590249349749</v>
      </c>
      <c r="V449" s="655">
        <v>0.46301737199999998</v>
      </c>
      <c r="W449" s="656">
        <v>0.41450663199999999</v>
      </c>
      <c r="Z449" s="655">
        <v>0.34811809027248541</v>
      </c>
      <c r="AA449" s="656">
        <v>0.35879740745254834</v>
      </c>
      <c r="AC449" s="655">
        <v>0.38607065414491148</v>
      </c>
      <c r="AD449" s="656">
        <v>0.38329830698725803</v>
      </c>
      <c r="AG449" s="655">
        <v>0.32108581250162288</v>
      </c>
      <c r="AH449" s="656">
        <v>0.33642565515806155</v>
      </c>
      <c r="AK449" s="657">
        <v>0.31936043199009778</v>
      </c>
      <c r="AL449" s="658">
        <v>0.33541418983960053</v>
      </c>
      <c r="AM449" s="646"/>
    </row>
    <row r="450" spans="2:39">
      <c r="B450" s="655">
        <v>0.31652695453188956</v>
      </c>
      <c r="C450" s="656">
        <v>0.33259755617298165</v>
      </c>
      <c r="F450" s="655">
        <v>0.349690475</v>
      </c>
      <c r="G450" s="656">
        <v>0.36060563099999998</v>
      </c>
      <c r="J450" s="655">
        <v>0.38819422528331599</v>
      </c>
      <c r="K450" s="656">
        <v>0.38529594949525159</v>
      </c>
      <c r="N450" s="655">
        <v>0.41441433776375869</v>
      </c>
      <c r="O450" s="656">
        <v>0.39852443285656874</v>
      </c>
      <c r="R450" s="655">
        <v>0.43983705446426807</v>
      </c>
      <c r="S450" s="656">
        <v>0.40803756219842302</v>
      </c>
      <c r="V450" s="655">
        <v>0.46299755799999998</v>
      </c>
      <c r="W450" s="656">
        <v>0.41459350299999997</v>
      </c>
      <c r="Z450" s="655">
        <v>0.34811098181495853</v>
      </c>
      <c r="AA450" s="656">
        <v>0.35885616754769795</v>
      </c>
      <c r="AC450" s="655">
        <v>0.386069341932749</v>
      </c>
      <c r="AD450" s="656">
        <v>0.38336576124141886</v>
      </c>
      <c r="AG450" s="655">
        <v>0.32105238944369702</v>
      </c>
      <c r="AH450" s="656">
        <v>0.33657068359764275</v>
      </c>
      <c r="AK450" s="657">
        <v>0.31934492421981592</v>
      </c>
      <c r="AL450" s="658">
        <v>0.33552926028830277</v>
      </c>
      <c r="AM450" s="646"/>
    </row>
    <row r="451" spans="2:39">
      <c r="B451" s="655">
        <v>0.31651636229842262</v>
      </c>
      <c r="C451" s="656">
        <v>0.33266525890399262</v>
      </c>
      <c r="F451" s="655">
        <v>0.34967514900000002</v>
      </c>
      <c r="G451" s="656">
        <v>0.36068881800000002</v>
      </c>
      <c r="J451" s="655">
        <v>0.38818640896715478</v>
      </c>
      <c r="K451" s="656">
        <v>0.38539201564531717</v>
      </c>
      <c r="N451" s="655">
        <v>0.4144069419897547</v>
      </c>
      <c r="O451" s="656">
        <v>0.39862278099591203</v>
      </c>
      <c r="R451" s="655">
        <v>0.4398249788532666</v>
      </c>
      <c r="S451" s="656">
        <v>0.4081277483350404</v>
      </c>
      <c r="V451" s="655">
        <v>0.46297612900000001</v>
      </c>
      <c r="W451" s="656">
        <v>0.41467891400000001</v>
      </c>
      <c r="Z451" s="655">
        <v>0.34810283433932782</v>
      </c>
      <c r="AA451" s="656">
        <v>0.3589138443997632</v>
      </c>
      <c r="AC451" s="655">
        <v>0.38606672923767577</v>
      </c>
      <c r="AD451" s="656">
        <v>0.38343209886919455</v>
      </c>
      <c r="AG451" s="655">
        <v>0.32101630032316031</v>
      </c>
      <c r="AH451" s="656">
        <v>0.33671316224591152</v>
      </c>
      <c r="AK451" s="657">
        <v>0.31932727049737097</v>
      </c>
      <c r="AL451" s="658">
        <v>0.33564209817332108</v>
      </c>
      <c r="AM451" s="646"/>
    </row>
    <row r="452" spans="2:39">
      <c r="B452" s="655">
        <v>0.31650448572015472</v>
      </c>
      <c r="C452" s="656">
        <v>0.33273160147388553</v>
      </c>
      <c r="F452" s="655">
        <v>0.34965827599999999</v>
      </c>
      <c r="G452" s="656">
        <v>0.36077030199999999</v>
      </c>
      <c r="J452" s="655">
        <v>0.38817664728895562</v>
      </c>
      <c r="K452" s="656">
        <v>0.38548631749130868</v>
      </c>
      <c r="N452" s="655">
        <v>0.41439753367721771</v>
      </c>
      <c r="O452" s="656">
        <v>0.39871938592072609</v>
      </c>
      <c r="R452" s="655">
        <v>0.43981109843630994</v>
      </c>
      <c r="S452" s="656">
        <v>0.40821643343177877</v>
      </c>
      <c r="V452" s="655">
        <v>0.46295309400000001</v>
      </c>
      <c r="W452" s="656">
        <v>0.41476283899999999</v>
      </c>
      <c r="Z452" s="655">
        <v>0.34809365032739342</v>
      </c>
      <c r="AA452" s="656">
        <v>0.3589704204398162</v>
      </c>
      <c r="AC452" s="655">
        <v>0.386062816855544</v>
      </c>
      <c r="AD452" s="656">
        <v>0.38349729966350105</v>
      </c>
      <c r="AG452" s="655">
        <v>0.32097755613310852</v>
      </c>
      <c r="AH452" s="656">
        <v>0.3368530477024913</v>
      </c>
      <c r="AK452" s="657">
        <v>0.31930747620025784</v>
      </c>
      <c r="AL452" s="658">
        <v>0.33575266912314256</v>
      </c>
      <c r="AM452" s="646"/>
    </row>
    <row r="453" spans="2:39">
      <c r="B453" s="655">
        <v>0.31649132841480671</v>
      </c>
      <c r="C453" s="656">
        <v>0.3327965636740709</v>
      </c>
      <c r="F453" s="655">
        <v>0.349639863</v>
      </c>
      <c r="G453" s="656">
        <v>0.36085005999999997</v>
      </c>
      <c r="J453" s="655">
        <v>0.38816494322222034</v>
      </c>
      <c r="K453" s="656">
        <v>0.38557882630797025</v>
      </c>
      <c r="N453" s="655">
        <v>0.41438611569201095</v>
      </c>
      <c r="O453" s="656">
        <v>0.39881421820421509</v>
      </c>
      <c r="R453" s="655">
        <v>0.43979541744150746</v>
      </c>
      <c r="S453" s="656">
        <v>0.40830359047429854</v>
      </c>
      <c r="V453" s="655">
        <v>0.46292845799999999</v>
      </c>
      <c r="W453" s="656">
        <v>0.414845252</v>
      </c>
      <c r="Z453" s="655">
        <v>0.34808343257669422</v>
      </c>
      <c r="AA453" s="656">
        <v>0.35902587843424705</v>
      </c>
      <c r="AC453" s="655">
        <v>0.38605760597810318</v>
      </c>
      <c r="AD453" s="656">
        <v>0.38356134376354478</v>
      </c>
      <c r="AG453" s="655">
        <v>0.32093616867539715</v>
      </c>
      <c r="AH453" s="656">
        <v>0.33699029735691693</v>
      </c>
      <c r="AK453" s="657">
        <v>0.31928554735801118</v>
      </c>
      <c r="AL453" s="658">
        <v>0.3358609394567848</v>
      </c>
      <c r="AM453" s="646"/>
    </row>
    <row r="454" spans="2:39">
      <c r="B454" s="655">
        <v>0.31647689439022125</v>
      </c>
      <c r="C454" s="656">
        <v>0.3328601257164332</v>
      </c>
      <c r="F454" s="655">
        <v>0.34961991399999998</v>
      </c>
      <c r="G454" s="656">
        <v>0.36092806500000002</v>
      </c>
      <c r="J454" s="655">
        <v>0.38815130033212092</v>
      </c>
      <c r="K454" s="656">
        <v>0.38566951391622029</v>
      </c>
      <c r="N454" s="655">
        <v>0.41437269151216322</v>
      </c>
      <c r="O454" s="656">
        <v>0.39890724895954671</v>
      </c>
      <c r="R454" s="655">
        <v>0.43977794064544207</v>
      </c>
      <c r="S454" s="656">
        <v>0.40838919291372028</v>
      </c>
      <c r="V454" s="655">
        <v>0.46290223000000003</v>
      </c>
      <c r="W454" s="656">
        <v>0.41492612800000001</v>
      </c>
      <c r="Z454" s="655">
        <v>0.34807218419965613</v>
      </c>
      <c r="AA454" s="656">
        <v>0.35908020149001346</v>
      </c>
      <c r="AC454" s="655">
        <v>0.38605109819263711</v>
      </c>
      <c r="AD454" s="656">
        <v>0.38362421166087241</v>
      </c>
      <c r="AG454" s="655">
        <v>0.32089215055704684</v>
      </c>
      <c r="AH454" s="656">
        <v>0.33712486940161418</v>
      </c>
      <c r="AK454" s="657">
        <v>0.31926149065036874</v>
      </c>
      <c r="AL454" s="658">
        <v>0.3359668761940553</v>
      </c>
      <c r="AM454" s="646"/>
    </row>
    <row r="455" spans="2:39">
      <c r="B455" s="655">
        <v>0.31646118804314205</v>
      </c>
      <c r="C455" s="656">
        <v>0.33292226823935861</v>
      </c>
      <c r="F455" s="655">
        <v>0.34959843699999998</v>
      </c>
      <c r="G455" s="656">
        <v>0.361004296</v>
      </c>
      <c r="J455" s="655">
        <v>0.38813572277441394</v>
      </c>
      <c r="K455" s="656">
        <v>0.3857583526917347</v>
      </c>
      <c r="N455" s="655">
        <v>0.41435726522680982</v>
      </c>
      <c r="O455" s="656">
        <v>0.39899844984865174</v>
      </c>
      <c r="R455" s="655">
        <v>0.43975867337171526</v>
      </c>
      <c r="S455" s="656">
        <v>0.40847321467471159</v>
      </c>
      <c r="V455" s="655">
        <v>0.46287441699999998</v>
      </c>
      <c r="W455" s="656">
        <v>0.41500544299999997</v>
      </c>
      <c r="Z455" s="655">
        <v>0.34805990862264374</v>
      </c>
      <c r="AA455" s="656">
        <v>0.35913337305978638</v>
      </c>
      <c r="AC455" s="655">
        <v>0.3860432954814802</v>
      </c>
      <c r="AD455" s="656">
        <v>0.38368588420531352</v>
      </c>
      <c r="AG455" s="655">
        <v>0.32084551518640281</v>
      </c>
      <c r="AH455" s="656">
        <v>0.33725672284463448</v>
      </c>
      <c r="AK455" s="657">
        <v>0.3192353134052367</v>
      </c>
      <c r="AL455" s="658">
        <v>0.33607044706559769</v>
      </c>
      <c r="AM455" s="646"/>
    </row>
    <row r="456" spans="2:39">
      <c r="B456" s="655">
        <v>0.31644421415787455</v>
      </c>
      <c r="C456" s="656">
        <v>0.33298297231363266</v>
      </c>
      <c r="F456" s="655">
        <v>0.34957543600000002</v>
      </c>
      <c r="G456" s="656">
        <v>0.36107872800000002</v>
      </c>
      <c r="J456" s="655">
        <v>0.38811821529417428</v>
      </c>
      <c r="K456" s="656">
        <v>0.38584531557336188</v>
      </c>
      <c r="N456" s="655">
        <v>0.41433984153494663</v>
      </c>
      <c r="O456" s="656">
        <v>0.3990877930908559</v>
      </c>
      <c r="R456" s="655">
        <v>0.4397376214893251</v>
      </c>
      <c r="S456" s="656">
        <v>0.40855563016343027</v>
      </c>
      <c r="V456" s="655">
        <v>0.46284502900000002</v>
      </c>
      <c r="W456" s="656">
        <v>0.415083172</v>
      </c>
      <c r="Z456" s="655">
        <v>0.34804660958491673</v>
      </c>
      <c r="AA456" s="656">
        <v>0.35918537694699054</v>
      </c>
      <c r="AC456" s="655">
        <v>0.38603420022141394</v>
      </c>
      <c r="AD456" s="656">
        <v>0.38374634261081347</v>
      </c>
      <c r="AG456" s="655">
        <v>0.32079627676905076</v>
      </c>
      <c r="AH456" s="656">
        <v>0.33738581752214186</v>
      </c>
      <c r="AK456" s="657">
        <v>0.31920702359645753</v>
      </c>
      <c r="AL456" s="658">
        <v>0.33617162052272109</v>
      </c>
      <c r="AM456" s="646"/>
    </row>
    <row r="457" spans="2:39">
      <c r="B457" s="655">
        <v>0.31642597790482868</v>
      </c>
      <c r="C457" s="656">
        <v>0.33304221944820633</v>
      </c>
      <c r="F457" s="655">
        <v>0.34955092100000001</v>
      </c>
      <c r="G457" s="656">
        <v>0.36115133900000002</v>
      </c>
      <c r="J457" s="655">
        <v>0.38809878322435015</v>
      </c>
      <c r="K457" s="656">
        <v>0.38593037607136571</v>
      </c>
      <c r="N457" s="655">
        <v>0.41432042574399908</v>
      </c>
      <c r="O457" s="656">
        <v>0.39917525147134209</v>
      </c>
      <c r="R457" s="655">
        <v>0.43971479141087905</v>
      </c>
      <c r="S457" s="656">
        <v>0.40863641427531999</v>
      </c>
      <c r="V457" s="655">
        <v>0.46281407200000002</v>
      </c>
      <c r="W457" s="656">
        <v>0.41515929200000001</v>
      </c>
      <c r="Z457" s="655">
        <v>0.34803229113749079</v>
      </c>
      <c r="AA457" s="656">
        <v>0.35923619731073814</v>
      </c>
      <c r="AC457" s="655">
        <v>0.3860238151829426</v>
      </c>
      <c r="AD457" s="656">
        <v>0.38380556846115643</v>
      </c>
      <c r="AG457" s="655">
        <v>0.32074445030348958</v>
      </c>
      <c r="AH457" s="656">
        <v>0.33751211411064702</v>
      </c>
      <c r="AK457" s="657">
        <v>0.31917662984138107</v>
      </c>
      <c r="AL457" s="658">
        <v>0.33627036574701052</v>
      </c>
      <c r="AM457" s="646"/>
    </row>
    <row r="458" spans="2:39">
      <c r="B458" s="655">
        <v>0.31640648483894374</v>
      </c>
      <c r="C458" s="656">
        <v>0.33309999159582843</v>
      </c>
      <c r="F458" s="655">
        <v>0.349524897</v>
      </c>
      <c r="G458" s="656">
        <v>0.36122210599999999</v>
      </c>
      <c r="J458" s="655">
        <v>0.38807743248413823</v>
      </c>
      <c r="K458" s="656">
        <v>0.38601350827549452</v>
      </c>
      <c r="N458" s="655">
        <v>0.4142990237682051</v>
      </c>
      <c r="O458" s="656">
        <v>0.39926079834944034</v>
      </c>
      <c r="R458" s="655">
        <v>0.43969019009064009</v>
      </c>
      <c r="S458" s="656">
        <v>0.4087155424027577</v>
      </c>
      <c r="V458" s="655">
        <v>0.46278155799999998</v>
      </c>
      <c r="W458" s="656">
        <v>0.41523377900000003</v>
      </c>
      <c r="Z458" s="655">
        <v>0.34801695764190377</v>
      </c>
      <c r="AA458" s="656">
        <v>0.35928581867065412</v>
      </c>
      <c r="AC458" s="655">
        <v>0.38601214352944951</v>
      </c>
      <c r="AD458" s="656">
        <v>0.38386354371557457</v>
      </c>
      <c r="AG458" s="655">
        <v>0.32069005157656272</v>
      </c>
      <c r="AH458" s="656">
        <v>0.33763557413898559</v>
      </c>
      <c r="AK458" s="657">
        <v>0.31914414139823954</v>
      </c>
      <c r="AL458" s="658">
        <v>0.33636665265971405</v>
      </c>
      <c r="AM458" s="646"/>
    </row>
    <row r="459" spans="2:39">
      <c r="B459" s="655">
        <v>0.31638574089799643</v>
      </c>
      <c r="C459" s="656">
        <v>0.33315627115854313</v>
      </c>
      <c r="F459" s="655">
        <v>0.349497373</v>
      </c>
      <c r="G459" s="656">
        <v>0.361291009</v>
      </c>
      <c r="J459" s="655">
        <v>0.38805416957718075</v>
      </c>
      <c r="K459" s="656">
        <v>0.38609468686287352</v>
      </c>
      <c r="N459" s="655">
        <v>0.41427564212681389</v>
      </c>
      <c r="O459" s="656">
        <v>0.39934440766674295</v>
      </c>
      <c r="R459" s="655">
        <v>0.43966382502240864</v>
      </c>
      <c r="S459" s="656">
        <v>0.4087929904425493</v>
      </c>
      <c r="V459" s="655">
        <v>0.46274749599999998</v>
      </c>
      <c r="W459" s="656">
        <v>0.41530661099999999</v>
      </c>
      <c r="Z459" s="655">
        <v>0.34800061376888691</v>
      </c>
      <c r="AA459" s="656">
        <v>0.35933422591159153</v>
      </c>
      <c r="AC459" s="655">
        <v>0.38599918881623346</v>
      </c>
      <c r="AD459" s="656">
        <v>0.38392025071424379</v>
      </c>
      <c r="AG459" s="655">
        <v>0.32063309715864935</v>
      </c>
      <c r="AH459" s="656">
        <v>0.337756160000037</v>
      </c>
      <c r="AK459" s="657">
        <v>0.31910956816332736</v>
      </c>
      <c r="AL459" s="658">
        <v>0.33646045193090524</v>
      </c>
      <c r="AM459" s="646"/>
    </row>
    <row r="460" spans="2:39">
      <c r="B460" s="655">
        <v>0.31636375240079212</v>
      </c>
      <c r="C460" s="656">
        <v>0.33321104099305049</v>
      </c>
      <c r="F460" s="655">
        <v>0.34946835700000001</v>
      </c>
      <c r="G460" s="656">
        <v>0.361358026</v>
      </c>
      <c r="J460" s="655">
        <v>0.38802900158958453</v>
      </c>
      <c r="K460" s="656">
        <v>0.38617388710571865</v>
      </c>
      <c r="N460" s="655">
        <v>0.41425028794209989</v>
      </c>
      <c r="O460" s="656">
        <v>0.39942605395504183</v>
      </c>
      <c r="R460" s="655">
        <v>0.43963570423723997</v>
      </c>
      <c r="S460" s="656">
        <v>0.40886873480327157</v>
      </c>
      <c r="V460" s="655">
        <v>0.46271189699999998</v>
      </c>
      <c r="W460" s="656">
        <v>0.41537776599999998</v>
      </c>
      <c r="Z460" s="655">
        <v>0.34798326449694233</v>
      </c>
      <c r="AA460" s="656">
        <v>0.35938140428823584</v>
      </c>
      <c r="AC460" s="655">
        <v>0.38598495498942548</v>
      </c>
      <c r="AD460" s="656">
        <v>0.38397567218366302</v>
      </c>
      <c r="AG460" s="655">
        <v>0.32057360439861698</v>
      </c>
      <c r="AH460" s="656">
        <v>0.33787383496217976</v>
      </c>
      <c r="AK460" s="657">
        <v>0.31907292066798687</v>
      </c>
      <c r="AL460" s="658">
        <v>0.33655173498841745</v>
      </c>
      <c r="AM460" s="646"/>
    </row>
    <row r="461" spans="2:39">
      <c r="B461" s="655">
        <v>0.3163405260452401</v>
      </c>
      <c r="C461" s="656">
        <v>0.33326428441592831</v>
      </c>
      <c r="F461" s="655">
        <v>0.34943785799999999</v>
      </c>
      <c r="G461" s="656">
        <v>0.36142313700000001</v>
      </c>
      <c r="J461" s="655">
        <v>0.38800193618776246</v>
      </c>
      <c r="K461" s="656">
        <v>0.38625108487886872</v>
      </c>
      <c r="N461" s="655">
        <v>0.4142229689371934</v>
      </c>
      <c r="O461" s="656">
        <v>0.39950571234408677</v>
      </c>
      <c r="R461" s="655">
        <v>0.43960583630099764</v>
      </c>
      <c r="S461" s="656">
        <v>0.40894275241245848</v>
      </c>
      <c r="V461" s="655">
        <v>0.46267477099999998</v>
      </c>
      <c r="W461" s="656">
        <v>0.415447222</v>
      </c>
      <c r="Z461" s="655">
        <v>0.34796491511082628</v>
      </c>
      <c r="AA461" s="656">
        <v>0.35942733942959648</v>
      </c>
      <c r="AC461" s="655">
        <v>0.38596944638478714</v>
      </c>
      <c r="AD461" s="656">
        <v>0.38402979124191566</v>
      </c>
      <c r="AG461" s="655">
        <v>0.32051159141853658</v>
      </c>
      <c r="AH461" s="656">
        <v>0.33798856318048048</v>
      </c>
      <c r="AK461" s="657">
        <v>0.31903421007540017</v>
      </c>
      <c r="AL461" s="658">
        <v>0.33664047402654718</v>
      </c>
      <c r="AM461" s="646"/>
    </row>
    <row r="462" spans="2:39">
      <c r="B462" s="655">
        <v>0.31631606890631325</v>
      </c>
      <c r="C462" s="656">
        <v>0.33331598520871419</v>
      </c>
      <c r="F462" s="655">
        <v>0.349405886</v>
      </c>
      <c r="G462" s="656">
        <v>0.361486321</v>
      </c>
      <c r="J462" s="655">
        <v>0.38797298161609811</v>
      </c>
      <c r="K462" s="656">
        <v>0.38632625666713416</v>
      </c>
      <c r="N462" s="655">
        <v>0.41419369343372792</v>
      </c>
      <c r="O462" s="656">
        <v>0.39958335856916072</v>
      </c>
      <c r="R462" s="655">
        <v>0.43957423031174431</v>
      </c>
      <c r="S462" s="656">
        <v>0.40901502072362927</v>
      </c>
      <c r="V462" s="655">
        <v>0.46263612900000001</v>
      </c>
      <c r="W462" s="656">
        <v>0.41551495700000002</v>
      </c>
      <c r="Z462" s="655">
        <v>0.34794557119993946</v>
      </c>
      <c r="AA462" s="656">
        <v>0.35947201734338446</v>
      </c>
      <c r="AC462" s="655">
        <v>0.3859526677263897</v>
      </c>
      <c r="AD462" s="656">
        <v>0.3840825914038124</v>
      </c>
      <c r="AG462" s="655">
        <v>0.32044707710816256</v>
      </c>
      <c r="AH462" s="656">
        <v>0.33810030970761251</v>
      </c>
      <c r="AK462" s="657">
        <v>0.31899344817718878</v>
      </c>
      <c r="AL462" s="658">
        <v>0.33672664201452368</v>
      </c>
      <c r="AM462" s="646"/>
    </row>
    <row r="463" spans="2:39">
      <c r="B463" s="655">
        <v>0.31629038843389301</v>
      </c>
      <c r="C463" s="656">
        <v>0.3333661276228459</v>
      </c>
      <c r="F463" s="655">
        <v>0.34937244899999997</v>
      </c>
      <c r="G463" s="656">
        <v>0.36154755999999999</v>
      </c>
      <c r="J463" s="655">
        <v>0.38794214669443444</v>
      </c>
      <c r="K463" s="656">
        <v>0.38639937957246007</v>
      </c>
      <c r="N463" s="655">
        <v>0.41416247034930542</v>
      </c>
      <c r="O463" s="656">
        <v>0.39965896897847131</v>
      </c>
      <c r="R463" s="655">
        <v>0.43954089589697054</v>
      </c>
      <c r="S463" s="656">
        <v>0.40908551772315627</v>
      </c>
      <c r="V463" s="655">
        <v>0.46259598400000002</v>
      </c>
      <c r="W463" s="656">
        <v>0.415580952</v>
      </c>
      <c r="Z463" s="655">
        <v>0.34792523865662467</v>
      </c>
      <c r="AA463" s="656">
        <v>0.3595154244202744</v>
      </c>
      <c r="AC463" s="655">
        <v>0.38593462412517499</v>
      </c>
      <c r="AD463" s="656">
        <v>0.38413405658591243</v>
      </c>
      <c r="AG463" s="655">
        <v>0.32038008111917893</v>
      </c>
      <c r="AH463" s="656">
        <v>0.33820904050450112</v>
      </c>
      <c r="AK463" s="657">
        <v>0.31895064738982171</v>
      </c>
      <c r="AL463" s="658">
        <v>0.33681021270474315</v>
      </c>
      <c r="AM463" s="646"/>
    </row>
    <row r="464" spans="2:39">
      <c r="B464" s="655">
        <v>0.31626349245050006</v>
      </c>
      <c r="C464" s="656">
        <v>0.33341469638445825</v>
      </c>
      <c r="F464" s="655">
        <v>0.34933755900000002</v>
      </c>
      <c r="G464" s="656">
        <v>0.36160683599999999</v>
      </c>
      <c r="J464" s="655">
        <v>0.38790944081538736</v>
      </c>
      <c r="K464" s="656">
        <v>0.38647043132090114</v>
      </c>
      <c r="N464" s="655">
        <v>0.41412930919477992</v>
      </c>
      <c r="O464" s="656">
        <v>0.39973252054035546</v>
      </c>
      <c r="R464" s="655">
        <v>0.439505843210662</v>
      </c>
      <c r="S464" s="656">
        <v>0.40915422193697054</v>
      </c>
      <c r="V464" s="655">
        <v>0.462554348</v>
      </c>
      <c r="W464" s="656">
        <v>0.41564518499999997</v>
      </c>
      <c r="Z464" s="655">
        <v>0.34790392367437145</v>
      </c>
      <c r="AA464" s="656">
        <v>0.35955754743805018</v>
      </c>
      <c r="AC464" s="655">
        <v>0.38591532107739873</v>
      </c>
      <c r="AD464" s="656">
        <v>0.38418417111142272</v>
      </c>
      <c r="AG464" s="655">
        <v>0.32031062385921294</v>
      </c>
      <c r="AH464" s="656">
        <v>0.33831472245069233</v>
      </c>
      <c r="AK464" s="657">
        <v>0.3189058207508334</v>
      </c>
      <c r="AL464" s="658">
        <v>0.33689116064076374</v>
      </c>
      <c r="AM464" s="646"/>
    </row>
    <row r="465" spans="2:39">
      <c r="B465" s="655">
        <v>0.31623538914891147</v>
      </c>
      <c r="C465" s="656">
        <v>0.33346167669903598</v>
      </c>
      <c r="F465" s="655">
        <v>0.34930122600000002</v>
      </c>
      <c r="G465" s="656">
        <v>0.361664129</v>
      </c>
      <c r="J465" s="655">
        <v>0.3878748739414844</v>
      </c>
      <c r="K465" s="656">
        <v>0.38653939026940654</v>
      </c>
      <c r="N465" s="655">
        <v>0.41409422007136026</v>
      </c>
      <c r="O465" s="656">
        <v>0.39980399085029494</v>
      </c>
      <c r="R465" s="655">
        <v>0.43946908293020642</v>
      </c>
      <c r="S465" s="656">
        <v>0.40922111243710296</v>
      </c>
      <c r="V465" s="655">
        <v>0.46251123300000002</v>
      </c>
      <c r="W465" s="656">
        <v>0.41570763900000002</v>
      </c>
      <c r="Z465" s="655">
        <v>0.34788163274592987</v>
      </c>
      <c r="AA465" s="656">
        <v>0.35959837356563251</v>
      </c>
      <c r="AC465" s="655">
        <v>0.38589476446295629</v>
      </c>
      <c r="AD465" s="656">
        <v>0.38423291971497336</v>
      </c>
      <c r="AG465" s="655">
        <v>0.32023872648561874</v>
      </c>
      <c r="AH465" s="656">
        <v>0.33841732335444158</v>
      </c>
      <c r="AK465" s="657">
        <v>0.3188589819148524</v>
      </c>
      <c r="AL465" s="658">
        <v>0.33696946116505999</v>
      </c>
      <c r="AM465" s="646"/>
    </row>
    <row r="466" spans="2:39">
      <c r="B466" s="655">
        <v>0.31620608708966513</v>
      </c>
      <c r="C466" s="656">
        <v>0.3335070542559202</v>
      </c>
      <c r="F466" s="655">
        <v>0.34926346000000003</v>
      </c>
      <c r="G466" s="656">
        <v>0.36171942200000001</v>
      </c>
      <c r="J466" s="655">
        <v>0.38783845660213029</v>
      </c>
      <c r="K466" s="656">
        <v>0.38660623541241246</v>
      </c>
      <c r="N466" s="655">
        <v>0.4140572136675334</v>
      </c>
      <c r="O466" s="656">
        <v>0.39987335813774094</v>
      </c>
      <c r="R466" s="655">
        <v>0.43943062625314139</v>
      </c>
      <c r="S466" s="656">
        <v>0.40928616884805918</v>
      </c>
      <c r="V466" s="655">
        <v>0.46246665199999998</v>
      </c>
      <c r="W466" s="656">
        <v>0.41576829199999998</v>
      </c>
      <c r="Z466" s="655">
        <v>0.34785837266133279</v>
      </c>
      <c r="AA466" s="656">
        <v>0.35963789036698751</v>
      </c>
      <c r="AC466" s="655">
        <v>0.38587296054359155</v>
      </c>
      <c r="AD466" s="656">
        <v>0.3842802875472674</v>
      </c>
      <c r="AG466" s="655">
        <v>0.3201644108990328</v>
      </c>
      <c r="AH466" s="656">
        <v>0.33851681196251959</v>
      </c>
      <c r="AK466" s="657">
        <v>0.31881014514944184</v>
      </c>
      <c r="AL466" s="658">
        <v>0.33704509042653363</v>
      </c>
      <c r="AM466" s="646"/>
    </row>
    <row r="467" spans="2:39">
      <c r="B467" s="655">
        <v>0.31617559519845212</v>
      </c>
      <c r="C467" s="656">
        <v>0.33355081523266744</v>
      </c>
      <c r="F467" s="655">
        <v>0.34922427499999997</v>
      </c>
      <c r="G467" s="656">
        <v>0.3617727</v>
      </c>
      <c r="J467" s="655">
        <v>0.38780019989039932</v>
      </c>
      <c r="K467" s="656">
        <v>0.38667094638824084</v>
      </c>
      <c r="N467" s="655">
        <v>0.41401830125580841</v>
      </c>
      <c r="O467" s="656">
        <v>0.39994060127274578</v>
      </c>
      <c r="R467" s="655">
        <v>0.43939048489374327</v>
      </c>
      <c r="S467" s="656">
        <v>0.40934937135302624</v>
      </c>
      <c r="V467" s="655">
        <v>0.46242062</v>
      </c>
      <c r="W467" s="656">
        <v>0.41582712799999999</v>
      </c>
      <c r="Z467" s="655">
        <v>0.34783415050582717</v>
      </c>
      <c r="AA467" s="656">
        <v>0.35967608580491467</v>
      </c>
      <c r="AC467" s="655">
        <v>0.38584991596098961</v>
      </c>
      <c r="AD467" s="656">
        <v>0.38432626017960431</v>
      </c>
      <c r="AG467" s="655">
        <v>0.32008769973670281</v>
      </c>
      <c r="AH467" s="656">
        <v>0.33861315796973263</v>
      </c>
      <c r="AK467" s="657">
        <v>0.31875932533075357</v>
      </c>
      <c r="AL467" s="658">
        <v>0.33711802538777913</v>
      </c>
      <c r="AM467" s="646"/>
    </row>
    <row r="468" spans="2:39">
      <c r="B468" s="655">
        <v>0.31614392276339798</v>
      </c>
      <c r="C468" s="656">
        <v>0.33359294629926034</v>
      </c>
      <c r="F468" s="655">
        <v>0.34918368</v>
      </c>
      <c r="G468" s="656">
        <v>0.36182394400000001</v>
      </c>
      <c r="J468" s="655">
        <v>0.38776011545965644</v>
      </c>
      <c r="K468" s="656">
        <v>0.38673350348530156</v>
      </c>
      <c r="N468" s="655">
        <v>0.41397749468928291</v>
      </c>
      <c r="O468" s="656">
        <v>0.40000569977239908</v>
      </c>
      <c r="R468" s="655">
        <v>0.43934867107945902</v>
      </c>
      <c r="S468" s="656">
        <v>0.40941070069990892</v>
      </c>
      <c r="V468" s="655">
        <v>0.46237314899999998</v>
      </c>
      <c r="W468" s="656">
        <v>0.41588412800000002</v>
      </c>
      <c r="Z468" s="655">
        <v>0.34780897365771629</v>
      </c>
      <c r="AA468" s="656">
        <v>0.3597129482447135</v>
      </c>
      <c r="AC468" s="655">
        <v>0.38582563773475353</v>
      </c>
      <c r="AD468" s="656">
        <v>0.38437082360827496</v>
      </c>
      <c r="AG468" s="655">
        <v>0.32000861636559186</v>
      </c>
      <c r="AH468" s="656">
        <v>0.33870633202815353</v>
      </c>
      <c r="AK468" s="657">
        <v>0.31870653793899667</v>
      </c>
      <c r="AL468" s="658">
        <v>0.33718824383210055</v>
      </c>
      <c r="AM468" s="646"/>
    </row>
    <row r="469" spans="2:39">
      <c r="B469" s="655">
        <v>0.31611107943223321</v>
      </c>
      <c r="C469" s="656">
        <v>0.33363343462216782</v>
      </c>
      <c r="F469" s="655">
        <v>0.34914169</v>
      </c>
      <c r="G469" s="656">
        <v>0.36187314100000001</v>
      </c>
      <c r="J469" s="655">
        <v>0.38771821552000768</v>
      </c>
      <c r="K469" s="656">
        <v>0.38679388764809686</v>
      </c>
      <c r="N469" s="655">
        <v>0.41393480639803226</v>
      </c>
      <c r="O469" s="656">
        <v>0.40006863380706725</v>
      </c>
      <c r="R469" s="655">
        <v>0.43930519754718145</v>
      </c>
      <c r="S469" s="656">
        <v>0.40947013820719397</v>
      </c>
      <c r="V469" s="655">
        <v>0.46232425500000002</v>
      </c>
      <c r="W469" s="656">
        <v>0.41593927400000003</v>
      </c>
      <c r="Z469" s="655">
        <v>0.34778284978611196</v>
      </c>
      <c r="AA469" s="656">
        <v>0.35974846645772784</v>
      </c>
      <c r="AC469" s="655">
        <v>0.38580013326026619</v>
      </c>
      <c r="AD469" s="656">
        <v>0.38441396425882723</v>
      </c>
      <c r="AG469" s="655">
        <v>0.31992718487526095</v>
      </c>
      <c r="AH469" s="656">
        <v>0.33879630575606157</v>
      </c>
      <c r="AK469" s="657">
        <v>0.31865179905372198</v>
      </c>
      <c r="AL469" s="658">
        <v>0.33725572437027973</v>
      </c>
      <c r="AM469" s="646"/>
    </row>
    <row r="470" spans="2:39">
      <c r="B470" s="655">
        <v>0.31607707520935457</v>
      </c>
      <c r="C470" s="656">
        <v>0.33367226786825455</v>
      </c>
      <c r="F470" s="655">
        <v>0.34909831600000002</v>
      </c>
      <c r="G470" s="656">
        <v>0.36192027399999999</v>
      </c>
      <c r="J470" s="655">
        <v>0.38767451283458043</v>
      </c>
      <c r="K470" s="656">
        <v>0.38685208048302583</v>
      </c>
      <c r="N470" s="655">
        <v>0.41389024938532359</v>
      </c>
      <c r="O470" s="656">
        <v>0.40012938420643368</v>
      </c>
      <c r="R470" s="655">
        <v>0.43926007753936974</v>
      </c>
      <c r="S470" s="656">
        <v>0.40952766576964089</v>
      </c>
      <c r="V470" s="655">
        <v>0.46227395199999999</v>
      </c>
      <c r="W470" s="656">
        <v>0.41599255099999999</v>
      </c>
      <c r="Z470" s="655">
        <v>0.34775578684859854</v>
      </c>
      <c r="AA470" s="656">
        <v>0.35978262962476587</v>
      </c>
      <c r="AC470" s="655">
        <v>0.38577341030643764</v>
      </c>
      <c r="AD470" s="656">
        <v>0.384455668990201</v>
      </c>
      <c r="AG470" s="655">
        <v>0.31984343007053079</v>
      </c>
      <c r="AH470" s="656">
        <v>0.33888305174658756</v>
      </c>
      <c r="AK470" s="657">
        <v>0.31859512534892431</v>
      </c>
      <c r="AL470" s="658">
        <v>0.33732044644709092</v>
      </c>
      <c r="AM470" s="646"/>
    </row>
    <row r="471" spans="2:39">
      <c r="B471" s="655">
        <v>0.31604192045277785</v>
      </c>
      <c r="C471" s="656">
        <v>0.33370943420853755</v>
      </c>
      <c r="F471" s="655">
        <v>0.34905357100000001</v>
      </c>
      <c r="G471" s="656">
        <v>0.36196532999999997</v>
      </c>
      <c r="J471" s="655">
        <v>0.3876290207156361</v>
      </c>
      <c r="K471" s="656">
        <v>0.38690806426398716</v>
      </c>
      <c r="N471" s="655">
        <v>0.41384383722365459</v>
      </c>
      <c r="O471" s="656">
        <v>0.40018793246533818</v>
      </c>
      <c r="R471" s="655">
        <v>0.43921332480001529</v>
      </c>
      <c r="S471" s="656">
        <v>0.4095832658637969</v>
      </c>
      <c r="V471" s="655">
        <v>0.46222225700000003</v>
      </c>
      <c r="W471" s="656">
        <v>0.41604394099999997</v>
      </c>
      <c r="Z471" s="655">
        <v>0.34772779308880897</v>
      </c>
      <c r="AA471" s="656">
        <v>0.35981542733939598</v>
      </c>
      <c r="AC471" s="655">
        <v>0.38574547701333844</v>
      </c>
      <c r="AD471" s="656">
        <v>0.38449592509873121</v>
      </c>
      <c r="AG471" s="655">
        <v>0.3197573774639263</v>
      </c>
      <c r="AH471" s="656">
        <v>0.33896654357606254</v>
      </c>
      <c r="AK471" s="657">
        <v>0.31853653408796312</v>
      </c>
      <c r="AL471" s="658">
        <v>0.33738239034756257</v>
      </c>
      <c r="AM471" s="646"/>
    </row>
    <row r="472" spans="2:39">
      <c r="B472" s="655">
        <v>0.31600562587098241</v>
      </c>
      <c r="C472" s="656">
        <v>0.33374492232178954</v>
      </c>
      <c r="F472" s="655">
        <v>0.34900746999999999</v>
      </c>
      <c r="G472" s="656">
        <v>0.36200829499999998</v>
      </c>
      <c r="J472" s="655">
        <v>0.38758175302051484</v>
      </c>
      <c r="K472" s="656">
        <v>0.38696182193777884</v>
      </c>
      <c r="N472" s="655">
        <v>0.41379558405061928</v>
      </c>
      <c r="O472" s="656">
        <v>0.40024426074941399</v>
      </c>
      <c r="R472" s="655">
        <v>0.43916495357045543</v>
      </c>
      <c r="S472" s="656">
        <v>0.40963692155333475</v>
      </c>
      <c r="V472" s="655">
        <v>0.46216918299999998</v>
      </c>
      <c r="W472" s="656">
        <v>0.41609342900000001</v>
      </c>
      <c r="Z472" s="655">
        <v>0.34769887703391367</v>
      </c>
      <c r="AA472" s="656">
        <v>0.35984684961111657</v>
      </c>
      <c r="AC472" s="655">
        <v>0.38571634188972026</v>
      </c>
      <c r="AD472" s="656">
        <v>0.38453472032201719</v>
      </c>
      <c r="AG472" s="655">
        <v>0.31966905326790507</v>
      </c>
      <c r="AH472" s="656">
        <v>0.33904675581206634</v>
      </c>
      <c r="AK472" s="657">
        <v>0.31847604311830402</v>
      </c>
      <c r="AL472" s="658">
        <v>0.33744153720298253</v>
      </c>
      <c r="AM472" s="646"/>
    </row>
    <row r="473" spans="2:39">
      <c r="B473" s="655">
        <v>0.31596820251964947</v>
      </c>
      <c r="C473" s="656">
        <v>0.33377872139798742</v>
      </c>
      <c r="F473" s="655">
        <v>0.34896002700000001</v>
      </c>
      <c r="G473" s="656">
        <v>0.36204915500000001</v>
      </c>
      <c r="J473" s="655">
        <v>0.38753272414741435</v>
      </c>
      <c r="K473" s="656">
        <v>0.38701333712929276</v>
      </c>
      <c r="N473" s="655">
        <v>0.41374550456460163</v>
      </c>
      <c r="O473" s="656">
        <v>0.40029835190052004</v>
      </c>
      <c r="R473" s="655">
        <v>0.43911497858503523</v>
      </c>
      <c r="S473" s="656">
        <v>0.40968861649421162</v>
      </c>
      <c r="V473" s="655">
        <v>0.46211474800000002</v>
      </c>
      <c r="W473" s="656">
        <v>0.41614099999999998</v>
      </c>
      <c r="Z473" s="655">
        <v>0.34766904749202304</v>
      </c>
      <c r="AA473" s="656">
        <v>0.35987688686839936</v>
      </c>
      <c r="AC473" s="655">
        <v>0.38568601381042406</v>
      </c>
      <c r="AD473" s="656">
        <v>0.38457204284265806</v>
      </c>
      <c r="AG473" s="655">
        <v>0.31957848438687281</v>
      </c>
      <c r="AH473" s="656">
        <v>0.33912366402117494</v>
      </c>
      <c r="AK473" s="657">
        <v>0.31841367086608247</v>
      </c>
      <c r="AL473" s="658">
        <v>0.33749786899664574</v>
      </c>
      <c r="AM473" s="646"/>
    </row>
    <row r="474" spans="2:39">
      <c r="B474" s="655">
        <v>0.3159296617982944</v>
      </c>
      <c r="C474" s="656">
        <v>0.33381082114160521</v>
      </c>
      <c r="F474" s="655">
        <v>0.34891125499999998</v>
      </c>
      <c r="G474" s="656">
        <v>0.36208789899999999</v>
      </c>
      <c r="J474" s="655">
        <v>0.38748194903100447</v>
      </c>
      <c r="K474" s="656">
        <v>0.38706259414650246</v>
      </c>
      <c r="N474" s="655">
        <v>0.41369361402029825</v>
      </c>
      <c r="O474" s="656">
        <v>0.40035018944196776</v>
      </c>
      <c r="R474" s="655">
        <v>0.43906341506661944</v>
      </c>
      <c r="S474" s="656">
        <v>0.40973833493964767</v>
      </c>
      <c r="V474" s="655">
        <v>0.46205896899999999</v>
      </c>
      <c r="W474" s="656">
        <v>0.41618664</v>
      </c>
      <c r="Z474" s="655">
        <v>0.34763831354950459</v>
      </c>
      <c r="AA474" s="656">
        <v>0.35990552996160469</v>
      </c>
      <c r="AC474" s="655">
        <v>0.38565450201367651</v>
      </c>
      <c r="AD474" s="656">
        <v>0.38460788129185253</v>
      </c>
      <c r="AG474" s="655">
        <v>0.31948569840898805</v>
      </c>
      <c r="AH474" s="656">
        <v>0.33919724477640278</v>
      </c>
      <c r="AK474" s="657">
        <v>0.31834943633049062</v>
      </c>
      <c r="AL474" s="658">
        <v>0.33755136856934204</v>
      </c>
      <c r="AM474" s="646"/>
    </row>
    <row r="475" spans="2:39">
      <c r="B475" s="655">
        <v>0.31589001544679418</v>
      </c>
      <c r="C475" s="656">
        <v>0.33384121177475001</v>
      </c>
      <c r="F475" s="655">
        <v>0.34886117</v>
      </c>
      <c r="G475" s="656">
        <v>0.36212451400000001</v>
      </c>
      <c r="J475" s="655">
        <v>0.38742944313787747</v>
      </c>
      <c r="K475" s="656">
        <v>0.38710957798524337</v>
      </c>
      <c r="N475" s="655">
        <v>0.41363992822407147</v>
      </c>
      <c r="O475" s="656">
        <v>0.40039975758353985</v>
      </c>
      <c r="R475" s="655">
        <v>0.43901027872195519</v>
      </c>
      <c r="S475" s="656">
        <v>0.40978606174492282</v>
      </c>
      <c r="V475" s="655">
        <v>0.46200186100000001</v>
      </c>
      <c r="W475" s="656">
        <v>0.41623033399999998</v>
      </c>
      <c r="Z475" s="655">
        <v>0.34760668456821481</v>
      </c>
      <c r="AA475" s="656">
        <v>0.35993277016576897</v>
      </c>
      <c r="AC475" s="655">
        <v>0.38562181609827623</v>
      </c>
      <c r="AD475" s="656">
        <v>0.38464222475286181</v>
      </c>
      <c r="AG475" s="655">
        <v>0.3193907235977585</v>
      </c>
      <c r="AH475" s="656">
        <v>0.33926747566433901</v>
      </c>
      <c r="AK475" s="657">
        <v>0.31828335907799027</v>
      </c>
      <c r="AL475" s="658">
        <v>0.33760201962458336</v>
      </c>
      <c r="AM475" s="646"/>
    </row>
    <row r="476" spans="2:39" ht="14.25" thickBot="1">
      <c r="B476" s="655">
        <v>0.31584927554181164</v>
      </c>
      <c r="C476" s="656">
        <v>0.33386988404014062</v>
      </c>
      <c r="F476" s="655">
        <v>0.34880978800000001</v>
      </c>
      <c r="G476" s="656">
        <v>0.36215898899999999</v>
      </c>
      <c r="J476" s="655">
        <v>0.38737522246183703</v>
      </c>
      <c r="K476" s="656">
        <v>0.38715427433378302</v>
      </c>
      <c r="N476" s="655">
        <v>0.41358446352913508</v>
      </c>
      <c r="O476" s="656">
        <v>0.40044704122630026</v>
      </c>
      <c r="R476" s="655">
        <v>0.43895558573688787</v>
      </c>
      <c r="S476" s="656">
        <v>0.40983178237198986</v>
      </c>
      <c r="V476" s="655">
        <v>0.46194344399999998</v>
      </c>
      <c r="W476" s="656">
        <v>0.41627206900000002</v>
      </c>
      <c r="Z476" s="655">
        <v>0.34757417018264791</v>
      </c>
      <c r="AA476" s="656">
        <v>0.35995859918326206</v>
      </c>
      <c r="AC476" s="655">
        <v>0.38558796602066964</v>
      </c>
      <c r="AD476" s="656">
        <v>0.38467506276433494</v>
      </c>
      <c r="AG476" s="659">
        <v>0.31929358888343168</v>
      </c>
      <c r="AH476" s="660">
        <v>0.33933433529197488</v>
      </c>
      <c r="AK476" s="657">
        <v>0.31821545923635275</v>
      </c>
      <c r="AL476" s="658">
        <v>0.33764980673356765</v>
      </c>
      <c r="AM476" s="646"/>
    </row>
    <row r="477" spans="2:39" ht="14.25" thickBot="1">
      <c r="B477" s="659">
        <v>0.31580745449311648</v>
      </c>
      <c r="C477" s="660">
        <v>0.33389682920392716</v>
      </c>
      <c r="F477" s="659">
        <v>0.34875712199999997</v>
      </c>
      <c r="G477" s="660">
        <v>0.36219131399999999</v>
      </c>
      <c r="J477" s="659">
        <v>0.38731930351902627</v>
      </c>
      <c r="K477" s="660">
        <v>0.38719666957718074</v>
      </c>
      <c r="N477" s="659">
        <v>0.4135272368305723</v>
      </c>
      <c r="O477" s="660">
        <v>0.40049202596719324</v>
      </c>
      <c r="R477" s="659">
        <v>0.4388993527714305</v>
      </c>
      <c r="S477" s="660">
        <v>0.40987548289390291</v>
      </c>
      <c r="V477" s="659">
        <v>0.46188373300000002</v>
      </c>
      <c r="W477" s="660">
        <v>0.41631183300000002</v>
      </c>
      <c r="Z477" s="655">
        <v>0.34754078029700064</v>
      </c>
      <c r="AA477" s="656">
        <v>0.35998300914631509</v>
      </c>
      <c r="AC477" s="655">
        <v>0.38555296209191831</v>
      </c>
      <c r="AD477" s="656">
        <v>0.38470638532349555</v>
      </c>
      <c r="AG477" s="345">
        <v>0.31919432385418256</v>
      </c>
      <c r="AH477" s="345">
        <v>0.33939780329322006</v>
      </c>
      <c r="AK477" s="661">
        <v>0.31814575748852741</v>
      </c>
      <c r="AL477" s="662">
        <v>0.3376947153398786</v>
      </c>
      <c r="AM477" s="646"/>
    </row>
    <row r="478" spans="2:39" ht="14.25">
      <c r="Z478" s="655">
        <v>0.34750652508215568</v>
      </c>
      <c r="AA478" s="656">
        <v>0.36000599261941679</v>
      </c>
      <c r="AB478" s="663"/>
      <c r="AC478" s="655">
        <v>0.38551681497455798</v>
      </c>
      <c r="AD478" s="656">
        <v>0.38473618288918865</v>
      </c>
      <c r="AE478" s="663"/>
    </row>
    <row r="479" spans="2:39" ht="15" thickBot="1">
      <c r="Z479" s="659">
        <v>0.34747141497258321</v>
      </c>
      <c r="AA479" s="660">
        <v>0.36002754260157871</v>
      </c>
      <c r="AB479" s="663"/>
      <c r="AC479" s="659">
        <v>0.38547953567935084</v>
      </c>
      <c r="AD479" s="660">
        <v>0.38476444638478713</v>
      </c>
      <c r="AE479" s="663"/>
    </row>
  </sheetData>
  <sheetProtection password="A7EA" sheet="1" objects="1" scenarios="1"/>
  <mergeCells count="60">
    <mergeCell ref="B77:C77"/>
    <mergeCell ref="B78:B82"/>
    <mergeCell ref="G78:G81"/>
    <mergeCell ref="K78:K81"/>
    <mergeCell ref="C43:D43"/>
    <mergeCell ref="E43:F43"/>
    <mergeCell ref="G43:H43"/>
    <mergeCell ref="I43:J43"/>
    <mergeCell ref="K43:L43"/>
    <mergeCell ref="B30:B33"/>
    <mergeCell ref="G30:G33"/>
    <mergeCell ref="Q30:Q33"/>
    <mergeCell ref="O43:P43"/>
    <mergeCell ref="H59:I59"/>
    <mergeCell ref="M43:N43"/>
    <mergeCell ref="B35:B38"/>
    <mergeCell ref="G35:G38"/>
    <mergeCell ref="Q35:Q38"/>
    <mergeCell ref="C42:D42"/>
    <mergeCell ref="E42:F42"/>
    <mergeCell ref="G42:H42"/>
    <mergeCell ref="I42:J42"/>
    <mergeCell ref="K42:L42"/>
    <mergeCell ref="M42:N42"/>
    <mergeCell ref="O42:P42"/>
    <mergeCell ref="B25:B28"/>
    <mergeCell ref="G25:G28"/>
    <mergeCell ref="L25:L28"/>
    <mergeCell ref="Q25:Q28"/>
    <mergeCell ref="V25:V28"/>
    <mergeCell ref="V15:V18"/>
    <mergeCell ref="B20:B23"/>
    <mergeCell ref="G20:G23"/>
    <mergeCell ref="L20:L23"/>
    <mergeCell ref="Q20:Q23"/>
    <mergeCell ref="V20:V23"/>
    <mergeCell ref="B15:B18"/>
    <mergeCell ref="G15:G18"/>
    <mergeCell ref="L15:L18"/>
    <mergeCell ref="Q15:Q18"/>
    <mergeCell ref="B9:C9"/>
    <mergeCell ref="G9:H9"/>
    <mergeCell ref="L9:M9"/>
    <mergeCell ref="Q9:R9"/>
    <mergeCell ref="V9:W9"/>
    <mergeCell ref="B10:B13"/>
    <mergeCell ref="G10:G13"/>
    <mergeCell ref="L10:L13"/>
    <mergeCell ref="Q10:Q13"/>
    <mergeCell ref="V10:V13"/>
    <mergeCell ref="B2:C2"/>
    <mergeCell ref="G2:H2"/>
    <mergeCell ref="L2:M2"/>
    <mergeCell ref="Q2:R2"/>
    <mergeCell ref="V2:W2"/>
    <mergeCell ref="B3:B6"/>
    <mergeCell ref="G3:G6"/>
    <mergeCell ref="L3:L6"/>
    <mergeCell ref="Q3:Q6"/>
    <mergeCell ref="V3:V6"/>
  </mergeCells>
  <phoneticPr fontId="7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C44"/>
  <sheetViews>
    <sheetView showGridLines="0" showRowColHeaders="0" tabSelected="1" zoomScale="85" zoomScaleNormal="85" workbookViewId="0">
      <selection activeCell="I199" sqref="I199"/>
    </sheetView>
  </sheetViews>
  <sheetFormatPr defaultRowHeight="14.25"/>
  <cols>
    <col min="1" max="1" width="4.625" style="23" customWidth="1"/>
    <col min="2" max="4" width="10.125" style="23" customWidth="1"/>
    <col min="5" max="6" width="6.625" style="23" customWidth="1"/>
    <col min="7" max="7" width="8.125" style="23" customWidth="1"/>
    <col min="8" max="8" width="5.125" style="23" customWidth="1"/>
    <col min="9" max="14" width="6.625" style="23" customWidth="1"/>
    <col min="15" max="15" width="2.125" style="23" customWidth="1"/>
    <col min="16" max="27" width="9.125" style="23" hidden="1" customWidth="1"/>
    <col min="28" max="28" width="2.125" style="23" customWidth="1"/>
    <col min="29" max="29" width="9.125" style="23" customWidth="1"/>
    <col min="30" max="16384" width="9" style="23"/>
  </cols>
  <sheetData>
    <row r="1" spans="1:28" ht="17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8" ht="17.100000000000001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T2" s="99"/>
      <c r="U2" s="99"/>
      <c r="V2" s="99"/>
      <c r="W2" s="99"/>
      <c r="X2" s="99"/>
      <c r="Y2" s="99"/>
    </row>
    <row r="3" spans="1:28" ht="17.100000000000001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850" t="s">
        <v>81</v>
      </c>
      <c r="Q3" s="851"/>
      <c r="R3" s="851"/>
      <c r="S3" s="851"/>
      <c r="T3" s="851"/>
      <c r="U3" s="851"/>
      <c r="V3" s="851"/>
      <c r="W3" s="851"/>
      <c r="X3" s="851"/>
      <c r="Y3" s="852"/>
      <c r="Z3" s="100"/>
      <c r="AA3" s="100"/>
      <c r="AB3" s="174"/>
    </row>
    <row r="4" spans="1:28" ht="9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Q4" s="101"/>
      <c r="R4" s="101"/>
      <c r="S4" s="101"/>
      <c r="T4" s="101"/>
      <c r="U4" s="101"/>
      <c r="V4" s="102"/>
      <c r="W4" s="102"/>
      <c r="X4" s="102"/>
      <c r="Y4" s="102"/>
      <c r="Z4" s="102"/>
      <c r="AA4" s="102"/>
      <c r="AB4" s="174"/>
    </row>
    <row r="5" spans="1:28" ht="17.100000000000001" customHeight="1" thickBot="1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P5" s="853" t="s">
        <v>1</v>
      </c>
      <c r="Q5" s="854"/>
      <c r="R5" s="104"/>
      <c r="S5" s="853" t="s">
        <v>2</v>
      </c>
      <c r="T5" s="854"/>
      <c r="U5" s="861"/>
      <c r="V5" s="105"/>
      <c r="W5" s="100"/>
      <c r="X5" s="850" t="s">
        <v>82</v>
      </c>
      <c r="Y5" s="851"/>
      <c r="Z5" s="852"/>
      <c r="AA5" s="106"/>
      <c r="AB5" s="174"/>
    </row>
    <row r="6" spans="1:28" ht="17.100000000000001" customHeight="1" thickBot="1">
      <c r="A6" s="2"/>
      <c r="B6" s="771" t="s">
        <v>7</v>
      </c>
      <c r="C6" s="26">
        <v>1</v>
      </c>
      <c r="D6" s="181">
        <v>1</v>
      </c>
      <c r="E6" s="8">
        <v>2</v>
      </c>
      <c r="G6" s="180">
        <v>150</v>
      </c>
      <c r="H6" s="21" t="str">
        <f>VLOOKUP(E6,Calculation!A24:I25,9,FALSE)</f>
        <v>mA</v>
      </c>
      <c r="I6" s="2"/>
      <c r="J6" s="865" t="s">
        <v>8</v>
      </c>
      <c r="K6" s="866"/>
      <c r="L6" s="863">
        <v>25</v>
      </c>
      <c r="M6" s="864"/>
      <c r="N6" s="6"/>
      <c r="P6" s="874">
        <v>1</v>
      </c>
      <c r="Q6" s="874"/>
      <c r="R6" s="107"/>
      <c r="S6" s="874">
        <v>1</v>
      </c>
      <c r="T6" s="874"/>
      <c r="U6" s="874"/>
      <c r="V6" s="108"/>
      <c r="W6" s="109"/>
      <c r="X6" s="875">
        <f>P6*S6</f>
        <v>1</v>
      </c>
      <c r="Y6" s="876"/>
      <c r="Z6" s="877"/>
      <c r="AA6" s="110"/>
      <c r="AB6" s="174"/>
    </row>
    <row r="7" spans="1:28" ht="9.9499999999999993" customHeight="1">
      <c r="A7" s="2"/>
      <c r="B7" s="7"/>
      <c r="C7" s="5"/>
      <c r="D7" s="5"/>
      <c r="E7" s="1"/>
      <c r="F7" s="8"/>
      <c r="G7" s="9"/>
      <c r="H7" s="10"/>
      <c r="I7" s="2"/>
      <c r="J7" s="11"/>
      <c r="K7" s="12"/>
      <c r="L7" s="6"/>
      <c r="M7" s="12"/>
      <c r="N7" s="6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2"/>
      <c r="AA7" s="103"/>
      <c r="AB7" s="174"/>
    </row>
    <row r="8" spans="1:28" ht="9.9499999999999993" customHeight="1" thickBot="1">
      <c r="A8" s="2"/>
      <c r="B8" s="2"/>
      <c r="C8" s="2"/>
      <c r="D8" s="2"/>
      <c r="E8" s="4"/>
      <c r="F8" s="4"/>
      <c r="G8" s="2"/>
      <c r="H8" s="2"/>
      <c r="I8" s="2"/>
      <c r="J8" s="2"/>
      <c r="K8" s="2"/>
      <c r="L8" s="2"/>
      <c r="M8" s="2"/>
      <c r="N8" s="2"/>
      <c r="P8"/>
      <c r="Q8" s="111" t="s">
        <v>83</v>
      </c>
      <c r="R8" s="163" t="s">
        <v>80</v>
      </c>
      <c r="S8"/>
      <c r="T8" s="163" t="s">
        <v>80</v>
      </c>
      <c r="U8" s="111" t="s">
        <v>83</v>
      </c>
      <c r="V8"/>
      <c r="W8" s="163" t="s">
        <v>80</v>
      </c>
      <c r="X8" s="111" t="s">
        <v>83</v>
      </c>
      <c r="Y8"/>
      <c r="Z8" s="163" t="s">
        <v>80</v>
      </c>
      <c r="AA8" s="101"/>
      <c r="AB8" s="174"/>
    </row>
    <row r="9" spans="1:28" s="24" customFormat="1" ht="17.25" hidden="1" customHeight="1">
      <c r="A9" s="2"/>
      <c r="B9" s="853" t="s">
        <v>77</v>
      </c>
      <c r="C9" s="854"/>
      <c r="D9" s="855"/>
      <c r="E9" s="859" t="e">
        <f>VLOOKUP($E6,#REF!,3,FALSE)</f>
        <v>#REF!</v>
      </c>
      <c r="F9" s="855"/>
      <c r="G9" s="859" t="e">
        <f>VLOOKUP($E6,#REF!,4,FALSE)</f>
        <v>#REF!</v>
      </c>
      <c r="H9" s="855"/>
      <c r="I9" s="859" t="e">
        <f>VLOOKUP($E6,#REF!,7,FALSE)</f>
        <v>#REF!</v>
      </c>
      <c r="J9" s="855"/>
      <c r="K9" s="859" t="e">
        <f>VLOOKUP($E6,#REF!,8,FALSE)</f>
        <v>#REF!</v>
      </c>
      <c r="L9" s="855"/>
      <c r="M9" s="859" t="s">
        <v>78</v>
      </c>
      <c r="N9" s="861"/>
      <c r="O9" s="22"/>
      <c r="P9" s="867" t="s">
        <v>84</v>
      </c>
      <c r="Q9" s="869" t="s">
        <v>85</v>
      </c>
      <c r="R9" s="870"/>
      <c r="S9" s="870"/>
      <c r="T9" s="870"/>
      <c r="U9" s="871"/>
      <c r="V9" s="98" t="s">
        <v>86</v>
      </c>
      <c r="W9" s="97" t="s">
        <v>86</v>
      </c>
      <c r="X9" s="872" t="s">
        <v>87</v>
      </c>
      <c r="Y9" s="873"/>
      <c r="Z9" s="872" t="s">
        <v>88</v>
      </c>
      <c r="AA9" s="873"/>
      <c r="AB9" s="175"/>
    </row>
    <row r="10" spans="1:28" s="24" customFormat="1" ht="17.25" hidden="1" customHeight="1" thickBot="1">
      <c r="A10" s="2"/>
      <c r="B10" s="856"/>
      <c r="C10" s="857"/>
      <c r="D10" s="858"/>
      <c r="E10" s="860"/>
      <c r="F10" s="858"/>
      <c r="G10" s="860"/>
      <c r="H10" s="858"/>
      <c r="I10" s="860"/>
      <c r="J10" s="858"/>
      <c r="K10" s="860"/>
      <c r="L10" s="858"/>
      <c r="M10" s="860"/>
      <c r="N10" s="862"/>
      <c r="O10" s="22"/>
      <c r="P10" s="868"/>
      <c r="Q10" s="96" t="s">
        <v>89</v>
      </c>
      <c r="R10" s="94" t="s">
        <v>90</v>
      </c>
      <c r="S10" s="95" t="s">
        <v>91</v>
      </c>
      <c r="T10" s="94" t="s">
        <v>90</v>
      </c>
      <c r="U10" s="93" t="s">
        <v>92</v>
      </c>
      <c r="V10" s="92" t="s">
        <v>91</v>
      </c>
      <c r="W10" s="91" t="s">
        <v>92</v>
      </c>
      <c r="X10" s="90" t="s">
        <v>89</v>
      </c>
      <c r="Y10" s="89" t="s">
        <v>91</v>
      </c>
      <c r="Z10" s="90" t="s">
        <v>89</v>
      </c>
      <c r="AA10" s="89" t="s">
        <v>91</v>
      </c>
      <c r="AB10" s="175"/>
    </row>
    <row r="11" spans="1:28" s="24" customFormat="1" ht="11.25" hidden="1" customHeight="1" thickBot="1">
      <c r="A11" s="2"/>
      <c r="B11" s="13" t="s">
        <v>9</v>
      </c>
      <c r="C11" s="14"/>
      <c r="D11" s="14"/>
      <c r="E11" s="15" t="e">
        <f>CONCATENATE($E6,E9)</f>
        <v>#REF!</v>
      </c>
      <c r="F11" s="15"/>
      <c r="G11" s="16" t="e">
        <f>CONCATENATE($E6,G9)</f>
        <v>#REF!</v>
      </c>
      <c r="H11" s="16"/>
      <c r="I11" s="16" t="e">
        <f>CONCATENATE($E6,I9)</f>
        <v>#REF!</v>
      </c>
      <c r="J11" s="16"/>
      <c r="K11" s="16" t="e">
        <f>CONCATENATE($E6,K9)</f>
        <v>#REF!</v>
      </c>
      <c r="L11" s="17"/>
      <c r="M11" s="18" t="str">
        <f>CONCATENATE($E6,M9)</f>
        <v>2Tj (C)</v>
      </c>
      <c r="N11" s="18"/>
      <c r="O11" s="22"/>
      <c r="P11" s="112" t="s">
        <v>79</v>
      </c>
      <c r="Q11" s="113"/>
      <c r="R11" s="114"/>
      <c r="S11" s="115" t="s">
        <v>79</v>
      </c>
      <c r="T11" s="116"/>
      <c r="U11" s="117"/>
      <c r="V11" s="118" t="s">
        <v>79</v>
      </c>
      <c r="W11" s="119"/>
      <c r="X11" s="120">
        <v>0.879</v>
      </c>
      <c r="Y11" s="121" t="s">
        <v>79</v>
      </c>
      <c r="Z11" s="113"/>
      <c r="AA11" s="122"/>
      <c r="AB11" s="176"/>
    </row>
    <row r="12" spans="1:28" s="24" customFormat="1" ht="17.100000000000001" hidden="1" customHeight="1">
      <c r="A12" s="2"/>
      <c r="B12" s="812" t="e">
        <f>CONCATENATE(#REF!,"-",#REF!,#REF!,"-",#REF!)</f>
        <v>#REF!</v>
      </c>
      <c r="C12" s="813"/>
      <c r="D12" s="814"/>
      <c r="E12" s="848" t="e">
        <f>HLOOKUP(E$11,#REF!,2,FALSE)</f>
        <v>#REF!</v>
      </c>
      <c r="F12" s="849"/>
      <c r="G12" s="826" t="e">
        <f>HLOOKUP(G$11,#REF!,2,FALSE)</f>
        <v>#REF!</v>
      </c>
      <c r="H12" s="827"/>
      <c r="I12" s="826" t="e">
        <f>HLOOKUP(I$11,#REF!,2,FALSE)</f>
        <v>#REF!</v>
      </c>
      <c r="J12" s="827"/>
      <c r="K12" s="881" t="e">
        <f>HLOOKUP(K$11,#REF!,2,FALSE)</f>
        <v>#REF!</v>
      </c>
      <c r="L12" s="883"/>
      <c r="M12" s="881" t="e">
        <f>HLOOKUP(M$11,#REF!,2,FALSE)</f>
        <v>#REF!</v>
      </c>
      <c r="N12" s="882"/>
      <c r="O12" s="22"/>
      <c r="P12" s="123" t="e">
        <f t="shared" ref="P12:P27" si="0">IF(G12="Not Applicable","Not Applicable",IF($H$6="mA",$G$6*$S$6,E12*$S$6))</f>
        <v>#REF!</v>
      </c>
      <c r="Q12" s="124" t="e">
        <f t="shared" ref="Q12:Q27" si="1">IF(G12="Not Applicable","Not Applicable",S12*R12)</f>
        <v>#REF!</v>
      </c>
      <c r="R12" s="162">
        <v>0.91764699999999999</v>
      </c>
      <c r="S12" s="125" t="e">
        <f t="shared" ref="S12:S27" si="2">IF(G12="Not Applicable","Not Applicable",G12*$P$6)</f>
        <v>#REF!</v>
      </c>
      <c r="T12" s="164">
        <v>8.2352999999999996E-2</v>
      </c>
      <c r="U12" s="127" t="e">
        <f t="shared" ref="U12:U27" si="3">IF(G12="Not Applicable","Not Applicable",S12*(1+T12))</f>
        <v>#REF!</v>
      </c>
      <c r="V12" s="128" t="e">
        <f t="shared" ref="V12:V27" si="4">IF(G12="Not Applicable","Not Applicable",P12/1000*S12)</f>
        <v>#REF!</v>
      </c>
      <c r="W12" s="127" t="e">
        <f t="shared" ref="W12:W27" si="5">IF(G12="Not Applicable","Not Applicable",P12/1000*U12)</f>
        <v>#REF!</v>
      </c>
      <c r="X12" s="129" t="e">
        <f t="shared" ref="X12:X27" si="6">IF(G12="Not Applicable","Not Applicable",ROUNDDOWN(Y12*X$11,0))</f>
        <v>#REF!</v>
      </c>
      <c r="Y12" s="130" t="e">
        <f t="shared" ref="Y12:Y27" si="7">IF(G12="Not Applicable","Not Applicable",IF($H$6="mA",E12*$P$6*$S$6,$G$6*$P$6*$S$6))</f>
        <v>#REF!</v>
      </c>
      <c r="Z12" s="129" t="e">
        <f t="shared" ref="Z12:Z27" si="8">IF(E12="Not Applicable","Not Applicable",ROUNDDOWN(X12/W12,0))</f>
        <v>#REF!</v>
      </c>
      <c r="AA12" s="130" t="e">
        <f t="shared" ref="AA12:AA27" si="9">IF(E12="Not Applicable","Not Applicable",Y12/V12)</f>
        <v>#REF!</v>
      </c>
      <c r="AB12" s="177"/>
    </row>
    <row r="13" spans="1:28" s="24" customFormat="1" ht="17.100000000000001" hidden="1" customHeight="1">
      <c r="A13" s="2"/>
      <c r="B13" s="812" t="e">
        <f>CONCATENATE(#REF!,"-",#REF!,#REF!,"-",#REF!)</f>
        <v>#REF!</v>
      </c>
      <c r="C13" s="813"/>
      <c r="D13" s="814"/>
      <c r="E13" s="822" t="e">
        <f>HLOOKUP(E$11,#REF!,3,FALSE)</f>
        <v>#REF!</v>
      </c>
      <c r="F13" s="823"/>
      <c r="G13" s="794" t="e">
        <f>HLOOKUP(G$11,#REF!,3,FALSE)</f>
        <v>#REF!</v>
      </c>
      <c r="H13" s="795"/>
      <c r="I13" s="794" t="e">
        <f>HLOOKUP(I$11,#REF!,3,FALSE)</f>
        <v>#REF!</v>
      </c>
      <c r="J13" s="795"/>
      <c r="K13" s="787" t="e">
        <f>HLOOKUP(K$11,#REF!,3,FALSE)</f>
        <v>#REF!</v>
      </c>
      <c r="L13" s="788"/>
      <c r="M13" s="787" t="e">
        <f>HLOOKUP(M$11,#REF!,3,FALSE)</f>
        <v>#REF!</v>
      </c>
      <c r="N13" s="880"/>
      <c r="O13" s="22"/>
      <c r="P13" s="123" t="e">
        <f t="shared" si="0"/>
        <v>#REF!</v>
      </c>
      <c r="Q13" s="124" t="e">
        <f t="shared" si="1"/>
        <v>#REF!</v>
      </c>
      <c r="R13" s="162">
        <f>R12</f>
        <v>0.91764699999999999</v>
      </c>
      <c r="S13" s="125" t="e">
        <f t="shared" si="2"/>
        <v>#REF!</v>
      </c>
      <c r="T13" s="126">
        <f>T12</f>
        <v>8.2352999999999996E-2</v>
      </c>
      <c r="U13" s="127" t="e">
        <f t="shared" si="3"/>
        <v>#REF!</v>
      </c>
      <c r="V13" s="128" t="e">
        <f t="shared" si="4"/>
        <v>#REF!</v>
      </c>
      <c r="W13" s="127" t="e">
        <f t="shared" si="5"/>
        <v>#REF!</v>
      </c>
      <c r="X13" s="129" t="e">
        <f t="shared" si="6"/>
        <v>#REF!</v>
      </c>
      <c r="Y13" s="130" t="e">
        <f t="shared" si="7"/>
        <v>#REF!</v>
      </c>
      <c r="Z13" s="129" t="e">
        <f t="shared" si="8"/>
        <v>#REF!</v>
      </c>
      <c r="AA13" s="130" t="e">
        <f t="shared" si="9"/>
        <v>#REF!</v>
      </c>
      <c r="AB13" s="177"/>
    </row>
    <row r="14" spans="1:28" s="24" customFormat="1" ht="17.100000000000001" hidden="1" customHeight="1">
      <c r="A14" s="2"/>
      <c r="B14" s="812" t="e">
        <f>CONCATENATE(#REF!,"-",#REF!,#REF!,"-",#REF!)</f>
        <v>#REF!</v>
      </c>
      <c r="C14" s="813"/>
      <c r="D14" s="814"/>
      <c r="E14" s="822" t="e">
        <f>HLOOKUP(E$11,#REF!,4,FALSE)</f>
        <v>#REF!</v>
      </c>
      <c r="F14" s="823"/>
      <c r="G14" s="794" t="e">
        <f>HLOOKUP(G$11,#REF!,4,FALSE)</f>
        <v>#REF!</v>
      </c>
      <c r="H14" s="795"/>
      <c r="I14" s="794" t="e">
        <f>HLOOKUP(I$11,#REF!,4,FALSE)</f>
        <v>#REF!</v>
      </c>
      <c r="J14" s="795"/>
      <c r="K14" s="787" t="e">
        <f>HLOOKUP(K$11,#REF!,4,FALSE)</f>
        <v>#REF!</v>
      </c>
      <c r="L14" s="788"/>
      <c r="M14" s="787" t="e">
        <f>HLOOKUP(M$11,#REF!,4,FALSE)</f>
        <v>#REF!</v>
      </c>
      <c r="N14" s="880"/>
      <c r="O14" s="22"/>
      <c r="P14" s="123" t="e">
        <f t="shared" si="0"/>
        <v>#REF!</v>
      </c>
      <c r="Q14" s="124" t="e">
        <f t="shared" si="1"/>
        <v>#REF!</v>
      </c>
      <c r="R14" s="162">
        <f t="shared" ref="R14:R26" si="10">R13</f>
        <v>0.91764699999999999</v>
      </c>
      <c r="S14" s="125" t="e">
        <f t="shared" si="2"/>
        <v>#REF!</v>
      </c>
      <c r="T14" s="126">
        <f t="shared" ref="T14:T26" si="11">T13</f>
        <v>8.2352999999999996E-2</v>
      </c>
      <c r="U14" s="127" t="e">
        <f t="shared" si="3"/>
        <v>#REF!</v>
      </c>
      <c r="V14" s="128" t="e">
        <f t="shared" si="4"/>
        <v>#REF!</v>
      </c>
      <c r="W14" s="127" t="e">
        <f t="shared" si="5"/>
        <v>#REF!</v>
      </c>
      <c r="X14" s="129" t="e">
        <f t="shared" si="6"/>
        <v>#REF!</v>
      </c>
      <c r="Y14" s="130" t="e">
        <f t="shared" si="7"/>
        <v>#REF!</v>
      </c>
      <c r="Z14" s="129" t="e">
        <f t="shared" si="8"/>
        <v>#REF!</v>
      </c>
      <c r="AA14" s="130" t="e">
        <f t="shared" si="9"/>
        <v>#REF!</v>
      </c>
      <c r="AB14" s="177"/>
    </row>
    <row r="15" spans="1:28" s="24" customFormat="1" ht="17.100000000000001" hidden="1" customHeight="1">
      <c r="A15" s="2"/>
      <c r="B15" s="812" t="e">
        <f>CONCATENATE(#REF!,"-",#REF!,#REF!,"-",#REF!)</f>
        <v>#REF!</v>
      </c>
      <c r="C15" s="813"/>
      <c r="D15" s="814"/>
      <c r="E15" s="822" t="e">
        <f>HLOOKUP(E$11,#REF!,5,FALSE)</f>
        <v>#REF!</v>
      </c>
      <c r="F15" s="823"/>
      <c r="G15" s="794" t="e">
        <f>HLOOKUP(G$11,#REF!,5,FALSE)</f>
        <v>#REF!</v>
      </c>
      <c r="H15" s="795"/>
      <c r="I15" s="794" t="e">
        <f>HLOOKUP(I$11,#REF!,5,FALSE)</f>
        <v>#REF!</v>
      </c>
      <c r="J15" s="795"/>
      <c r="K15" s="787" t="e">
        <f>HLOOKUP(K$11,#REF!,5,FALSE)</f>
        <v>#REF!</v>
      </c>
      <c r="L15" s="788"/>
      <c r="M15" s="787" t="e">
        <f>HLOOKUP(M$11,#REF!,5,FALSE)</f>
        <v>#REF!</v>
      </c>
      <c r="N15" s="880"/>
      <c r="O15" s="22"/>
      <c r="P15" s="123" t="e">
        <f t="shared" si="0"/>
        <v>#REF!</v>
      </c>
      <c r="Q15" s="124" t="e">
        <f t="shared" si="1"/>
        <v>#REF!</v>
      </c>
      <c r="R15" s="162">
        <f t="shared" si="10"/>
        <v>0.91764699999999999</v>
      </c>
      <c r="S15" s="125" t="e">
        <f t="shared" si="2"/>
        <v>#REF!</v>
      </c>
      <c r="T15" s="126">
        <f t="shared" si="11"/>
        <v>8.2352999999999996E-2</v>
      </c>
      <c r="U15" s="127" t="e">
        <f t="shared" si="3"/>
        <v>#REF!</v>
      </c>
      <c r="V15" s="128" t="e">
        <f t="shared" si="4"/>
        <v>#REF!</v>
      </c>
      <c r="W15" s="127" t="e">
        <f t="shared" si="5"/>
        <v>#REF!</v>
      </c>
      <c r="X15" s="129" t="e">
        <f t="shared" si="6"/>
        <v>#REF!</v>
      </c>
      <c r="Y15" s="130" t="e">
        <f t="shared" si="7"/>
        <v>#REF!</v>
      </c>
      <c r="Z15" s="129" t="e">
        <f t="shared" si="8"/>
        <v>#REF!</v>
      </c>
      <c r="AA15" s="130" t="e">
        <f t="shared" si="9"/>
        <v>#REF!</v>
      </c>
      <c r="AB15" s="177"/>
    </row>
    <row r="16" spans="1:28" s="24" customFormat="1" ht="17.100000000000001" hidden="1" customHeight="1">
      <c r="A16" s="161" t="s">
        <v>80</v>
      </c>
      <c r="B16" s="789" t="e">
        <f>CONCATENATE(#REF!,"-",#REF!,#REF!,"-",#REF!)</f>
        <v>#REF!</v>
      </c>
      <c r="C16" s="790"/>
      <c r="D16" s="791"/>
      <c r="E16" s="792" t="e">
        <f>HLOOKUP(E$11,#REF!,6,FALSE)</f>
        <v>#REF!</v>
      </c>
      <c r="F16" s="793"/>
      <c r="G16" s="796" t="e">
        <f>HLOOKUP(G$11,#REF!,6,FALSE)</f>
        <v>#REF!</v>
      </c>
      <c r="H16" s="797"/>
      <c r="I16" s="796" t="e">
        <f>HLOOKUP(I$11,#REF!,6,FALSE)</f>
        <v>#REF!</v>
      </c>
      <c r="J16" s="797"/>
      <c r="K16" s="808" t="e">
        <f>HLOOKUP(K$11,#REF!,6,FALSE)</f>
        <v>#REF!</v>
      </c>
      <c r="L16" s="879"/>
      <c r="M16" s="808" t="e">
        <f>HLOOKUP(M$11,#REF!,6,FALSE)</f>
        <v>#REF!</v>
      </c>
      <c r="N16" s="809"/>
      <c r="O16" s="22"/>
      <c r="P16" s="133" t="e">
        <f t="shared" si="0"/>
        <v>#REF!</v>
      </c>
      <c r="Q16" s="134" t="e">
        <f t="shared" si="1"/>
        <v>#REF!</v>
      </c>
      <c r="R16" s="162">
        <f t="shared" si="10"/>
        <v>0.91764699999999999</v>
      </c>
      <c r="S16" s="135" t="e">
        <f t="shared" si="2"/>
        <v>#REF!</v>
      </c>
      <c r="T16" s="126">
        <f t="shared" si="11"/>
        <v>8.2352999999999996E-2</v>
      </c>
      <c r="U16" s="136" t="e">
        <f t="shared" si="3"/>
        <v>#REF!</v>
      </c>
      <c r="V16" s="137" t="e">
        <f t="shared" si="4"/>
        <v>#REF!</v>
      </c>
      <c r="W16" s="136" t="e">
        <f t="shared" si="5"/>
        <v>#REF!</v>
      </c>
      <c r="X16" s="138" t="e">
        <f t="shared" si="6"/>
        <v>#REF!</v>
      </c>
      <c r="Y16" s="132" t="e">
        <f t="shared" si="7"/>
        <v>#REF!</v>
      </c>
      <c r="Z16" s="131" t="e">
        <f t="shared" si="8"/>
        <v>#REF!</v>
      </c>
      <c r="AA16" s="132" t="e">
        <f t="shared" si="9"/>
        <v>#REF!</v>
      </c>
      <c r="AB16" s="177"/>
    </row>
    <row r="17" spans="1:29" s="24" customFormat="1" ht="17.100000000000001" hidden="1" customHeight="1">
      <c r="A17" s="2"/>
      <c r="B17" s="789" t="e">
        <f>CONCATENATE(#REF!,"-",#REF!,#REF!,"-",#REF!)</f>
        <v>#REF!</v>
      </c>
      <c r="C17" s="790"/>
      <c r="D17" s="791"/>
      <c r="E17" s="792" t="e">
        <f>HLOOKUP(E$11,#REF!,7,FALSE)</f>
        <v>#REF!</v>
      </c>
      <c r="F17" s="793"/>
      <c r="G17" s="796" t="e">
        <f>HLOOKUP(G$11,#REF!,7,FALSE)</f>
        <v>#REF!</v>
      </c>
      <c r="H17" s="797"/>
      <c r="I17" s="796" t="e">
        <f>HLOOKUP(I$11,#REF!,7,FALSE)</f>
        <v>#REF!</v>
      </c>
      <c r="J17" s="797"/>
      <c r="K17" s="808" t="e">
        <f>HLOOKUP(K$11,#REF!,7,FALSE)</f>
        <v>#REF!</v>
      </c>
      <c r="L17" s="879"/>
      <c r="M17" s="808" t="e">
        <f>HLOOKUP(M$11,#REF!,7,FALSE)</f>
        <v>#REF!</v>
      </c>
      <c r="N17" s="809"/>
      <c r="O17" s="22"/>
      <c r="P17" s="133" t="e">
        <f t="shared" si="0"/>
        <v>#REF!</v>
      </c>
      <c r="Q17" s="134" t="e">
        <f t="shared" si="1"/>
        <v>#REF!</v>
      </c>
      <c r="R17" s="162">
        <f t="shared" si="10"/>
        <v>0.91764699999999999</v>
      </c>
      <c r="S17" s="135" t="e">
        <f t="shared" si="2"/>
        <v>#REF!</v>
      </c>
      <c r="T17" s="126">
        <f t="shared" si="11"/>
        <v>8.2352999999999996E-2</v>
      </c>
      <c r="U17" s="136" t="e">
        <f t="shared" si="3"/>
        <v>#REF!</v>
      </c>
      <c r="V17" s="137" t="e">
        <f t="shared" si="4"/>
        <v>#REF!</v>
      </c>
      <c r="W17" s="136" t="e">
        <f t="shared" si="5"/>
        <v>#REF!</v>
      </c>
      <c r="X17" s="138" t="e">
        <f t="shared" si="6"/>
        <v>#REF!</v>
      </c>
      <c r="Y17" s="132" t="e">
        <f t="shared" si="7"/>
        <v>#REF!</v>
      </c>
      <c r="Z17" s="131" t="e">
        <f t="shared" si="8"/>
        <v>#REF!</v>
      </c>
      <c r="AA17" s="132" t="e">
        <f t="shared" si="9"/>
        <v>#REF!</v>
      </c>
      <c r="AB17" s="177"/>
    </row>
    <row r="18" spans="1:29" s="24" customFormat="1" ht="17.100000000000001" hidden="1" customHeight="1">
      <c r="A18" s="2"/>
      <c r="B18" s="815" t="e">
        <f>CONCATENATE(#REF!,"-",#REF!,#REF!,"-",#REF!)</f>
        <v>#REF!</v>
      </c>
      <c r="C18" s="816"/>
      <c r="D18" s="817"/>
      <c r="E18" s="818" t="e">
        <f>HLOOKUP(E$11,#REF!,8,FALSE)</f>
        <v>#REF!</v>
      </c>
      <c r="F18" s="819"/>
      <c r="G18" s="798" t="e">
        <f>HLOOKUP(G$11,#REF!,8,FALSE)</f>
        <v>#REF!</v>
      </c>
      <c r="H18" s="799"/>
      <c r="I18" s="798" t="e">
        <f>HLOOKUP(I$11,#REF!,8,FALSE)</f>
        <v>#REF!</v>
      </c>
      <c r="J18" s="799"/>
      <c r="K18" s="810" t="e">
        <f>HLOOKUP(K$11,#REF!,8,FALSE)</f>
        <v>#REF!</v>
      </c>
      <c r="L18" s="878"/>
      <c r="M18" s="810" t="e">
        <f>HLOOKUP(M$11,#REF!,8,FALSE)</f>
        <v>#REF!</v>
      </c>
      <c r="N18" s="811"/>
      <c r="O18" s="22"/>
      <c r="P18" s="133" t="e">
        <f t="shared" si="0"/>
        <v>#REF!</v>
      </c>
      <c r="Q18" s="134" t="e">
        <f t="shared" si="1"/>
        <v>#REF!</v>
      </c>
      <c r="R18" s="162">
        <f t="shared" si="10"/>
        <v>0.91764699999999999</v>
      </c>
      <c r="S18" s="135" t="e">
        <f t="shared" si="2"/>
        <v>#REF!</v>
      </c>
      <c r="T18" s="126">
        <f t="shared" si="11"/>
        <v>8.2352999999999996E-2</v>
      </c>
      <c r="U18" s="136" t="e">
        <f t="shared" si="3"/>
        <v>#REF!</v>
      </c>
      <c r="V18" s="137" t="e">
        <f t="shared" si="4"/>
        <v>#REF!</v>
      </c>
      <c r="W18" s="136" t="e">
        <f t="shared" si="5"/>
        <v>#REF!</v>
      </c>
      <c r="X18" s="138" t="e">
        <f t="shared" si="6"/>
        <v>#REF!</v>
      </c>
      <c r="Y18" s="132" t="e">
        <f t="shared" si="7"/>
        <v>#REF!</v>
      </c>
      <c r="Z18" s="131" t="e">
        <f t="shared" si="8"/>
        <v>#REF!</v>
      </c>
      <c r="AA18" s="132" t="e">
        <f t="shared" si="9"/>
        <v>#REF!</v>
      </c>
      <c r="AB18" s="177"/>
    </row>
    <row r="19" spans="1:29" s="24" customFormat="1" ht="17.100000000000001" hidden="1" customHeight="1">
      <c r="A19" s="2"/>
      <c r="B19" s="815" t="e">
        <f>CONCATENATE(#REF!,"-",#REF!,#REF!,"-",#REF!)</f>
        <v>#REF!</v>
      </c>
      <c r="C19" s="816"/>
      <c r="D19" s="817"/>
      <c r="E19" s="818" t="e">
        <f>HLOOKUP(E$11,#REF!,9,FALSE)</f>
        <v>#REF!</v>
      </c>
      <c r="F19" s="819"/>
      <c r="G19" s="798" t="e">
        <f>HLOOKUP(G$11,#REF!,9,FALSE)</f>
        <v>#REF!</v>
      </c>
      <c r="H19" s="799"/>
      <c r="I19" s="798" t="e">
        <f>HLOOKUP(I$11,#REF!,9,FALSE)</f>
        <v>#REF!</v>
      </c>
      <c r="J19" s="799"/>
      <c r="K19" s="810" t="e">
        <f>HLOOKUP(K$11,#REF!,9,FALSE)</f>
        <v>#REF!</v>
      </c>
      <c r="L19" s="878"/>
      <c r="M19" s="810" t="e">
        <f>HLOOKUP(M$11,#REF!,9,FALSE)</f>
        <v>#REF!</v>
      </c>
      <c r="N19" s="811"/>
      <c r="O19" s="22"/>
      <c r="P19" s="133" t="e">
        <f t="shared" si="0"/>
        <v>#REF!</v>
      </c>
      <c r="Q19" s="134" t="e">
        <f t="shared" si="1"/>
        <v>#REF!</v>
      </c>
      <c r="R19" s="162">
        <f t="shared" si="10"/>
        <v>0.91764699999999999</v>
      </c>
      <c r="S19" s="135" t="e">
        <f t="shared" si="2"/>
        <v>#REF!</v>
      </c>
      <c r="T19" s="126">
        <f t="shared" si="11"/>
        <v>8.2352999999999996E-2</v>
      </c>
      <c r="U19" s="136" t="e">
        <f t="shared" si="3"/>
        <v>#REF!</v>
      </c>
      <c r="V19" s="137" t="e">
        <f t="shared" si="4"/>
        <v>#REF!</v>
      </c>
      <c r="W19" s="136" t="e">
        <f t="shared" si="5"/>
        <v>#REF!</v>
      </c>
      <c r="X19" s="138" t="e">
        <f t="shared" si="6"/>
        <v>#REF!</v>
      </c>
      <c r="Y19" s="132" t="e">
        <f t="shared" si="7"/>
        <v>#REF!</v>
      </c>
      <c r="Z19" s="131" t="e">
        <f t="shared" si="8"/>
        <v>#REF!</v>
      </c>
      <c r="AA19" s="132" t="e">
        <f t="shared" si="9"/>
        <v>#REF!</v>
      </c>
      <c r="AB19" s="177"/>
    </row>
    <row r="20" spans="1:29" s="24" customFormat="1" ht="17.100000000000001" hidden="1" customHeight="1">
      <c r="A20" s="2"/>
      <c r="B20" s="815" t="e">
        <f>CONCATENATE(#REF!,"-",#REF!,#REF!,"-",#REF!)</f>
        <v>#REF!</v>
      </c>
      <c r="C20" s="820"/>
      <c r="D20" s="821"/>
      <c r="E20" s="818" t="e">
        <f>HLOOKUP(E$11,#REF!,10,FALSE)</f>
        <v>#REF!</v>
      </c>
      <c r="F20" s="819"/>
      <c r="G20" s="798" t="e">
        <f>HLOOKUP(G$11,#REF!,10,FALSE)</f>
        <v>#REF!</v>
      </c>
      <c r="H20" s="799"/>
      <c r="I20" s="798" t="e">
        <f>HLOOKUP(I$11,#REF!,10,FALSE)</f>
        <v>#REF!</v>
      </c>
      <c r="J20" s="799"/>
      <c r="K20" s="810" t="e">
        <f>HLOOKUP(K$11,#REF!,10,FALSE)</f>
        <v>#REF!</v>
      </c>
      <c r="L20" s="878"/>
      <c r="M20" s="810" t="e">
        <f>HLOOKUP(M$11,#REF!,10,FALSE)</f>
        <v>#REF!</v>
      </c>
      <c r="N20" s="811"/>
      <c r="O20" s="22"/>
      <c r="P20" s="133" t="e">
        <f t="shared" si="0"/>
        <v>#REF!</v>
      </c>
      <c r="Q20" s="134" t="e">
        <f t="shared" si="1"/>
        <v>#REF!</v>
      </c>
      <c r="R20" s="162">
        <f t="shared" si="10"/>
        <v>0.91764699999999999</v>
      </c>
      <c r="S20" s="135" t="e">
        <f t="shared" si="2"/>
        <v>#REF!</v>
      </c>
      <c r="T20" s="126">
        <f t="shared" si="11"/>
        <v>8.2352999999999996E-2</v>
      </c>
      <c r="U20" s="136" t="e">
        <f t="shared" si="3"/>
        <v>#REF!</v>
      </c>
      <c r="V20" s="137" t="e">
        <f t="shared" si="4"/>
        <v>#REF!</v>
      </c>
      <c r="W20" s="136" t="e">
        <f t="shared" si="5"/>
        <v>#REF!</v>
      </c>
      <c r="X20" s="138" t="e">
        <f t="shared" si="6"/>
        <v>#REF!</v>
      </c>
      <c r="Y20" s="132" t="e">
        <f t="shared" si="7"/>
        <v>#REF!</v>
      </c>
      <c r="Z20" s="131" t="e">
        <f t="shared" si="8"/>
        <v>#REF!</v>
      </c>
      <c r="AA20" s="132" t="e">
        <f t="shared" si="9"/>
        <v>#REF!</v>
      </c>
      <c r="AB20" s="177"/>
    </row>
    <row r="21" spans="1:29" s="24" customFormat="1" ht="17.100000000000001" hidden="1" customHeight="1">
      <c r="A21" s="2"/>
      <c r="B21" s="840" t="e">
        <f>CONCATENATE(#REF!,"-",#REF!,#REF!,"-",#REF!)</f>
        <v>#REF!</v>
      </c>
      <c r="C21" s="841"/>
      <c r="D21" s="842"/>
      <c r="E21" s="802" t="e">
        <f>HLOOKUP(E$11,#REF!,11,FALSE)</f>
        <v>#REF!</v>
      </c>
      <c r="F21" s="803"/>
      <c r="G21" s="800" t="e">
        <f>HLOOKUP(G$11,#REF!,11,FALSE)</f>
        <v>#REF!</v>
      </c>
      <c r="H21" s="801"/>
      <c r="I21" s="800" t="e">
        <f>HLOOKUP(I$11,#REF!,11,FALSE)</f>
        <v>#REF!</v>
      </c>
      <c r="J21" s="801"/>
      <c r="K21" s="804" t="e">
        <f>HLOOKUP(K$11,#REF!,11,FALSE)</f>
        <v>#REF!</v>
      </c>
      <c r="L21" s="836"/>
      <c r="M21" s="804" t="e">
        <f>HLOOKUP(M$11,#REF!,11,FALSE)</f>
        <v>#REF!</v>
      </c>
      <c r="N21" s="805"/>
      <c r="O21" s="22"/>
      <c r="P21" s="140" t="e">
        <f t="shared" si="0"/>
        <v>#REF!</v>
      </c>
      <c r="Q21" s="141" t="e">
        <f t="shared" si="1"/>
        <v>#REF!</v>
      </c>
      <c r="R21" s="162">
        <f t="shared" si="10"/>
        <v>0.91764699999999999</v>
      </c>
      <c r="S21" s="142" t="e">
        <f t="shared" si="2"/>
        <v>#REF!</v>
      </c>
      <c r="T21" s="126">
        <f t="shared" si="11"/>
        <v>8.2352999999999996E-2</v>
      </c>
      <c r="U21" s="143" t="e">
        <f t="shared" si="3"/>
        <v>#REF!</v>
      </c>
      <c r="V21" s="144" t="e">
        <f t="shared" si="4"/>
        <v>#REF!</v>
      </c>
      <c r="W21" s="143" t="e">
        <f t="shared" si="5"/>
        <v>#REF!</v>
      </c>
      <c r="X21" s="145" t="e">
        <f t="shared" si="6"/>
        <v>#REF!</v>
      </c>
      <c r="Y21" s="139" t="e">
        <f t="shared" si="7"/>
        <v>#REF!</v>
      </c>
      <c r="Z21" s="131" t="e">
        <f t="shared" si="8"/>
        <v>#REF!</v>
      </c>
      <c r="AA21" s="139" t="e">
        <f t="shared" si="9"/>
        <v>#REF!</v>
      </c>
      <c r="AB21" s="177"/>
    </row>
    <row r="22" spans="1:29" s="24" customFormat="1" ht="17.100000000000001" hidden="1" customHeight="1">
      <c r="A22" s="2"/>
      <c r="B22" s="840" t="e">
        <f>CONCATENATE(#REF!,"-",#REF!,#REF!,"-",#REF!)</f>
        <v>#REF!</v>
      </c>
      <c r="C22" s="841"/>
      <c r="D22" s="842"/>
      <c r="E22" s="802" t="e">
        <f>HLOOKUP(E$11,#REF!,12,FALSE)</f>
        <v>#REF!</v>
      </c>
      <c r="F22" s="803"/>
      <c r="G22" s="800" t="e">
        <f>HLOOKUP(G$11,#REF!,12,FALSE)</f>
        <v>#REF!</v>
      </c>
      <c r="H22" s="801"/>
      <c r="I22" s="800" t="e">
        <f>HLOOKUP(I$11,#REF!,12,FALSE)</f>
        <v>#REF!</v>
      </c>
      <c r="J22" s="801"/>
      <c r="K22" s="804" t="e">
        <f>HLOOKUP(K$11,#REF!,12,FALSE)</f>
        <v>#REF!</v>
      </c>
      <c r="L22" s="836"/>
      <c r="M22" s="804" t="e">
        <f>HLOOKUP(M$11,#REF!,12,FALSE)</f>
        <v>#REF!</v>
      </c>
      <c r="N22" s="805"/>
      <c r="O22" s="22"/>
      <c r="P22" s="140" t="e">
        <f t="shared" si="0"/>
        <v>#REF!</v>
      </c>
      <c r="Q22" s="141" t="e">
        <f t="shared" si="1"/>
        <v>#REF!</v>
      </c>
      <c r="R22" s="162">
        <f t="shared" si="10"/>
        <v>0.91764699999999999</v>
      </c>
      <c r="S22" s="142" t="e">
        <f t="shared" si="2"/>
        <v>#REF!</v>
      </c>
      <c r="T22" s="126">
        <f t="shared" si="11"/>
        <v>8.2352999999999996E-2</v>
      </c>
      <c r="U22" s="143" t="e">
        <f t="shared" si="3"/>
        <v>#REF!</v>
      </c>
      <c r="V22" s="144" t="e">
        <f t="shared" si="4"/>
        <v>#REF!</v>
      </c>
      <c r="W22" s="143" t="e">
        <f t="shared" si="5"/>
        <v>#REF!</v>
      </c>
      <c r="X22" s="145" t="e">
        <f t="shared" si="6"/>
        <v>#REF!</v>
      </c>
      <c r="Y22" s="139" t="e">
        <f t="shared" si="7"/>
        <v>#REF!</v>
      </c>
      <c r="Z22" s="131" t="e">
        <f t="shared" si="8"/>
        <v>#REF!</v>
      </c>
      <c r="AA22" s="139" t="e">
        <f t="shared" si="9"/>
        <v>#REF!</v>
      </c>
      <c r="AB22" s="177"/>
    </row>
    <row r="23" spans="1:29" s="24" customFormat="1" ht="17.100000000000001" hidden="1" customHeight="1">
      <c r="A23" s="2"/>
      <c r="B23" s="840" t="e">
        <f>CONCATENATE(#REF!,"-",#REF!,#REF!,"-",#REF!)</f>
        <v>#REF!</v>
      </c>
      <c r="C23" s="843"/>
      <c r="D23" s="844"/>
      <c r="E23" s="802" t="e">
        <f>HLOOKUP(E$11,#REF!,13,FALSE)</f>
        <v>#REF!</v>
      </c>
      <c r="F23" s="803"/>
      <c r="G23" s="800" t="e">
        <f>HLOOKUP(G$11,#REF!,13,FALSE)</f>
        <v>#REF!</v>
      </c>
      <c r="H23" s="801"/>
      <c r="I23" s="800" t="e">
        <f>HLOOKUP(I$11,#REF!,13,FALSE)</f>
        <v>#REF!</v>
      </c>
      <c r="J23" s="801"/>
      <c r="K23" s="804" t="e">
        <f>HLOOKUP(K$11,#REF!,13,FALSE)</f>
        <v>#REF!</v>
      </c>
      <c r="L23" s="845"/>
      <c r="M23" s="804" t="e">
        <f>HLOOKUP(M$11,#REF!,13,FALSE)</f>
        <v>#REF!</v>
      </c>
      <c r="N23" s="805"/>
      <c r="O23" s="22"/>
      <c r="P23" s="140" t="e">
        <f t="shared" si="0"/>
        <v>#REF!</v>
      </c>
      <c r="Q23" s="141" t="e">
        <f t="shared" si="1"/>
        <v>#REF!</v>
      </c>
      <c r="R23" s="162">
        <f t="shared" si="10"/>
        <v>0.91764699999999999</v>
      </c>
      <c r="S23" s="142" t="e">
        <f t="shared" si="2"/>
        <v>#REF!</v>
      </c>
      <c r="T23" s="126">
        <f t="shared" si="11"/>
        <v>8.2352999999999996E-2</v>
      </c>
      <c r="U23" s="143" t="e">
        <f t="shared" si="3"/>
        <v>#REF!</v>
      </c>
      <c r="V23" s="144" t="e">
        <f t="shared" si="4"/>
        <v>#REF!</v>
      </c>
      <c r="W23" s="143" t="e">
        <f t="shared" si="5"/>
        <v>#REF!</v>
      </c>
      <c r="X23" s="145" t="e">
        <f t="shared" si="6"/>
        <v>#REF!</v>
      </c>
      <c r="Y23" s="139" t="e">
        <f t="shared" si="7"/>
        <v>#REF!</v>
      </c>
      <c r="Z23" s="131" t="e">
        <f t="shared" si="8"/>
        <v>#REF!</v>
      </c>
      <c r="AA23" s="139" t="e">
        <f t="shared" si="9"/>
        <v>#REF!</v>
      </c>
      <c r="AB23" s="177"/>
    </row>
    <row r="24" spans="1:29" s="24" customFormat="1" ht="17.100000000000001" hidden="1" customHeight="1">
      <c r="A24" s="2"/>
      <c r="B24" s="840" t="e">
        <f>CONCATENATE(#REF!,"-",#REF!,#REF!,"-",#REF!)</f>
        <v>#REF!</v>
      </c>
      <c r="C24" s="843"/>
      <c r="D24" s="844"/>
      <c r="E24" s="802" t="e">
        <f>HLOOKUP(E$11,#REF!,14,FALSE)</f>
        <v>#REF!</v>
      </c>
      <c r="F24" s="803"/>
      <c r="G24" s="800" t="e">
        <f>HLOOKUP(G$11,#REF!,14,FALSE)</f>
        <v>#REF!</v>
      </c>
      <c r="H24" s="801"/>
      <c r="I24" s="800" t="e">
        <f>HLOOKUP(I$11,#REF!,14,FALSE)</f>
        <v>#REF!</v>
      </c>
      <c r="J24" s="801"/>
      <c r="K24" s="804" t="e">
        <f>HLOOKUP(K$11,#REF!,14,FALSE)</f>
        <v>#REF!</v>
      </c>
      <c r="L24" s="845"/>
      <c r="M24" s="804" t="e">
        <f>HLOOKUP(M$11,#REF!,14,FALSE)</f>
        <v>#REF!</v>
      </c>
      <c r="N24" s="805"/>
      <c r="O24" s="22"/>
      <c r="P24" s="140" t="e">
        <f t="shared" si="0"/>
        <v>#REF!</v>
      </c>
      <c r="Q24" s="141" t="e">
        <f t="shared" si="1"/>
        <v>#REF!</v>
      </c>
      <c r="R24" s="162">
        <v>0.91976500000000005</v>
      </c>
      <c r="S24" s="142" t="e">
        <f t="shared" si="2"/>
        <v>#REF!</v>
      </c>
      <c r="T24" s="126">
        <v>8.0235000000000001E-2</v>
      </c>
      <c r="U24" s="143" t="e">
        <f t="shared" si="3"/>
        <v>#REF!</v>
      </c>
      <c r="V24" s="144" t="e">
        <f t="shared" si="4"/>
        <v>#REF!</v>
      </c>
      <c r="W24" s="143" t="e">
        <f t="shared" si="5"/>
        <v>#REF!</v>
      </c>
      <c r="X24" s="145" t="e">
        <f t="shared" si="6"/>
        <v>#REF!</v>
      </c>
      <c r="Y24" s="139" t="e">
        <f t="shared" si="7"/>
        <v>#REF!</v>
      </c>
      <c r="Z24" s="131" t="e">
        <f t="shared" si="8"/>
        <v>#REF!</v>
      </c>
      <c r="AA24" s="139" t="e">
        <f t="shared" si="9"/>
        <v>#REF!</v>
      </c>
      <c r="AB24" s="177"/>
    </row>
    <row r="25" spans="1:29" s="24" customFormat="1" ht="17.100000000000001" hidden="1" customHeight="1">
      <c r="A25" s="2"/>
      <c r="B25" s="840" t="e">
        <f>CONCATENATE(#REF!,"-",#REF!,#REF!,"-",#REF!)</f>
        <v>#REF!</v>
      </c>
      <c r="C25" s="843"/>
      <c r="D25" s="844"/>
      <c r="E25" s="802" t="e">
        <f>HLOOKUP(E$11,#REF!,15,FALSE)</f>
        <v>#REF!</v>
      </c>
      <c r="F25" s="803"/>
      <c r="G25" s="800" t="e">
        <f>HLOOKUP(G$11,#REF!,15,FALSE)</f>
        <v>#REF!</v>
      </c>
      <c r="H25" s="801"/>
      <c r="I25" s="800" t="e">
        <f>HLOOKUP(I$11,#REF!,15,FALSE)</f>
        <v>#REF!</v>
      </c>
      <c r="J25" s="801"/>
      <c r="K25" s="804" t="e">
        <f>HLOOKUP(K$11,#REF!,15,FALSE)</f>
        <v>#REF!</v>
      </c>
      <c r="L25" s="845"/>
      <c r="M25" s="804" t="e">
        <f>HLOOKUP(M$11,#REF!,15,FALSE)</f>
        <v>#REF!</v>
      </c>
      <c r="N25" s="805"/>
      <c r="O25" s="22"/>
      <c r="P25" s="140" t="e">
        <f t="shared" si="0"/>
        <v>#REF!</v>
      </c>
      <c r="Q25" s="141" t="e">
        <f t="shared" si="1"/>
        <v>#REF!</v>
      </c>
      <c r="R25" s="162">
        <f t="shared" si="10"/>
        <v>0.91976500000000005</v>
      </c>
      <c r="S25" s="142" t="e">
        <f t="shared" si="2"/>
        <v>#REF!</v>
      </c>
      <c r="T25" s="126">
        <f t="shared" si="11"/>
        <v>8.0235000000000001E-2</v>
      </c>
      <c r="U25" s="143" t="e">
        <f t="shared" si="3"/>
        <v>#REF!</v>
      </c>
      <c r="V25" s="144" t="e">
        <f t="shared" si="4"/>
        <v>#REF!</v>
      </c>
      <c r="W25" s="143" t="e">
        <f t="shared" si="5"/>
        <v>#REF!</v>
      </c>
      <c r="X25" s="145" t="e">
        <f t="shared" si="6"/>
        <v>#REF!</v>
      </c>
      <c r="Y25" s="139" t="e">
        <f t="shared" si="7"/>
        <v>#REF!</v>
      </c>
      <c r="Z25" s="131" t="e">
        <f t="shared" si="8"/>
        <v>#REF!</v>
      </c>
      <c r="AA25" s="139" t="e">
        <f t="shared" si="9"/>
        <v>#REF!</v>
      </c>
      <c r="AB25" s="177"/>
      <c r="AC25" s="23"/>
    </row>
    <row r="26" spans="1:29" s="24" customFormat="1" ht="17.100000000000001" hidden="1" customHeight="1">
      <c r="A26" s="2"/>
      <c r="B26" s="837" t="e">
        <f>CONCATENATE(#REF!,"-",#REF!,#REF!,"-",#REF!)</f>
        <v>#REF!</v>
      </c>
      <c r="C26" s="838"/>
      <c r="D26" s="839"/>
      <c r="E26" s="846" t="e">
        <f>HLOOKUP(E$11,#REF!,16,FALSE)</f>
        <v>#REF!</v>
      </c>
      <c r="F26" s="847"/>
      <c r="G26" s="824" t="e">
        <f>HLOOKUP(G$11,#REF!,16,FALSE)</f>
        <v>#REF!</v>
      </c>
      <c r="H26" s="825"/>
      <c r="I26" s="824" t="e">
        <f>HLOOKUP(I$11,#REF!,16,FALSE)</f>
        <v>#REF!</v>
      </c>
      <c r="J26" s="825"/>
      <c r="K26" s="806" t="e">
        <f>HLOOKUP(K$11,#REF!,16,FALSE)</f>
        <v>#REF!</v>
      </c>
      <c r="L26" s="878"/>
      <c r="M26" s="806" t="e">
        <f>HLOOKUP(M$11,#REF!,16,FALSE)</f>
        <v>#REF!</v>
      </c>
      <c r="N26" s="807"/>
      <c r="O26" s="23"/>
      <c r="P26" s="147" t="e">
        <f t="shared" si="0"/>
        <v>#REF!</v>
      </c>
      <c r="Q26" s="148" t="e">
        <f t="shared" si="1"/>
        <v>#REF!</v>
      </c>
      <c r="R26" s="162">
        <f t="shared" si="10"/>
        <v>0.91976500000000005</v>
      </c>
      <c r="S26" s="149" t="e">
        <f t="shared" si="2"/>
        <v>#REF!</v>
      </c>
      <c r="T26" s="126">
        <f t="shared" si="11"/>
        <v>8.0235000000000001E-2</v>
      </c>
      <c r="U26" s="150" t="e">
        <f t="shared" si="3"/>
        <v>#REF!</v>
      </c>
      <c r="V26" s="151" t="e">
        <f t="shared" si="4"/>
        <v>#REF!</v>
      </c>
      <c r="W26" s="150" t="e">
        <f t="shared" si="5"/>
        <v>#REF!</v>
      </c>
      <c r="X26" s="152" t="e">
        <f t="shared" si="6"/>
        <v>#REF!</v>
      </c>
      <c r="Y26" s="146" t="e">
        <f t="shared" si="7"/>
        <v>#REF!</v>
      </c>
      <c r="Z26" s="131" t="e">
        <f t="shared" si="8"/>
        <v>#REF!</v>
      </c>
      <c r="AA26" s="146" t="e">
        <f t="shared" si="9"/>
        <v>#REF!</v>
      </c>
      <c r="AB26" s="177"/>
      <c r="AC26" s="23"/>
    </row>
    <row r="27" spans="1:29" s="24" customFormat="1" ht="17.100000000000001" hidden="1" customHeight="1" thickBot="1">
      <c r="A27" s="2"/>
      <c r="B27" s="828" t="e">
        <f>CONCATENATE(#REF!,"-",#REF!,#REF!,"-",#REF!)</f>
        <v>#REF!</v>
      </c>
      <c r="C27" s="829"/>
      <c r="D27" s="830"/>
      <c r="E27" s="831" t="e">
        <f>HLOOKUP(E$11,#REF!,17,FALSE)</f>
        <v>#REF!</v>
      </c>
      <c r="F27" s="832"/>
      <c r="G27" s="833" t="e">
        <f>HLOOKUP(G$11,#REF!,17,FALSE)</f>
        <v>#REF!</v>
      </c>
      <c r="H27" s="834"/>
      <c r="I27" s="833" t="e">
        <f>HLOOKUP(I$11,#REF!,17,FALSE)</f>
        <v>#REF!</v>
      </c>
      <c r="J27" s="834"/>
      <c r="K27" s="785" t="e">
        <f>HLOOKUP(K$11,#REF!,17,FALSE)</f>
        <v>#REF!</v>
      </c>
      <c r="L27" s="835"/>
      <c r="M27" s="785" t="e">
        <f>HLOOKUP(M$11,#REF!,17,FALSE)</f>
        <v>#REF!</v>
      </c>
      <c r="N27" s="786"/>
      <c r="O27" s="23"/>
      <c r="P27" s="154" t="e">
        <f t="shared" si="0"/>
        <v>#REF!</v>
      </c>
      <c r="Q27" s="155" t="e">
        <f t="shared" si="1"/>
        <v>#REF!</v>
      </c>
      <c r="R27" s="162">
        <v>0.91968660000000002</v>
      </c>
      <c r="S27" s="156" t="e">
        <f t="shared" si="2"/>
        <v>#REF!</v>
      </c>
      <c r="T27" s="126">
        <v>8.0313399999999993E-2</v>
      </c>
      <c r="U27" s="157" t="e">
        <f t="shared" si="3"/>
        <v>#REF!</v>
      </c>
      <c r="V27" s="158" t="e">
        <f t="shared" si="4"/>
        <v>#REF!</v>
      </c>
      <c r="W27" s="157" t="e">
        <f t="shared" si="5"/>
        <v>#REF!</v>
      </c>
      <c r="X27" s="159" t="e">
        <f t="shared" si="6"/>
        <v>#REF!</v>
      </c>
      <c r="Y27" s="153" t="e">
        <f t="shared" si="7"/>
        <v>#REF!</v>
      </c>
      <c r="Z27" s="160" t="e">
        <f t="shared" si="8"/>
        <v>#REF!</v>
      </c>
      <c r="AA27" s="153" t="e">
        <f t="shared" si="9"/>
        <v>#REF!</v>
      </c>
      <c r="AB27" s="177"/>
      <c r="AC27" s="23"/>
    </row>
    <row r="28" spans="1:29" ht="24.95" hidden="1" customHeight="1" thickBot="1">
      <c r="A28" s="2"/>
      <c r="B28" s="2"/>
      <c r="C28" s="19"/>
      <c r="D28" s="2"/>
      <c r="E28" s="2"/>
      <c r="F28" s="2"/>
      <c r="G28" s="2"/>
      <c r="H28" s="2"/>
      <c r="I28" s="2"/>
      <c r="J28" s="20"/>
      <c r="K28" s="24"/>
      <c r="N28" s="27"/>
    </row>
    <row r="29" spans="1:29" ht="17.25" customHeight="1">
      <c r="A29" s="24"/>
      <c r="B29" s="853" t="s">
        <v>77</v>
      </c>
      <c r="C29" s="854"/>
      <c r="D29" s="855"/>
      <c r="E29" s="859" t="str">
        <f>VLOOKUP($E6,Calculation!A24:I25,3,FALSE)</f>
        <v>φv (lm)</v>
      </c>
      <c r="F29" s="855"/>
      <c r="G29" s="859" t="str">
        <f>VLOOKUP($E6,Calculation!A24:I25,4,FALSE)</f>
        <v>Vf (V)</v>
      </c>
      <c r="H29" s="855"/>
      <c r="I29" s="859" t="str">
        <f>VLOOKUP($E6,Calculation!A24:I25,7,FALSE)</f>
        <v>Pd (W)</v>
      </c>
      <c r="J29" s="855"/>
      <c r="K29" s="859" t="str">
        <f>VLOOKUP($E6,Calculation!A24:I25,8,FALSE)</f>
        <v>lm/W</v>
      </c>
      <c r="L29" s="855"/>
      <c r="M29" s="859" t="s">
        <v>78</v>
      </c>
      <c r="N29" s="861"/>
      <c r="AC29" s="173"/>
    </row>
    <row r="30" spans="1:29" ht="17.25" customHeight="1" thickBot="1">
      <c r="A30" s="24"/>
      <c r="B30" s="856"/>
      <c r="C30" s="857"/>
      <c r="D30" s="858"/>
      <c r="E30" s="860"/>
      <c r="F30" s="858"/>
      <c r="G30" s="860"/>
      <c r="H30" s="858"/>
      <c r="I30" s="860"/>
      <c r="J30" s="858"/>
      <c r="K30" s="860"/>
      <c r="L30" s="858"/>
      <c r="M30" s="860"/>
      <c r="N30" s="862"/>
    </row>
    <row r="31" spans="1:29" ht="17.100000000000001" hidden="1" customHeight="1" thickBot="1">
      <c r="A31" s="24"/>
      <c r="B31" s="13" t="s">
        <v>9</v>
      </c>
      <c r="C31" s="14"/>
      <c r="D31" s="14"/>
      <c r="E31" s="166" t="str">
        <f>CONCATENATE($E6,E29)</f>
        <v>2φv (lm)</v>
      </c>
      <c r="F31" s="166"/>
      <c r="G31" s="167" t="str">
        <f>CONCATENATE($E6,G29)</f>
        <v>2Vf (V)</v>
      </c>
      <c r="H31" s="167"/>
      <c r="I31" s="167" t="str">
        <f>CONCATENATE($E6,I29)</f>
        <v>2Pd (W)</v>
      </c>
      <c r="J31" s="167"/>
      <c r="K31" s="167" t="str">
        <f>CONCATENATE($E6,K29)</f>
        <v>2lm/W</v>
      </c>
      <c r="L31" s="168"/>
      <c r="M31" s="169" t="str">
        <f>CONCATENATE($E6,M29)</f>
        <v>2Tj (C)</v>
      </c>
      <c r="N31" s="169"/>
    </row>
    <row r="32" spans="1:29" ht="17.100000000000001" customHeight="1">
      <c r="A32" s="24"/>
      <c r="B32" s="887" t="str">
        <f>CONCATENATE(Calculation!B3,"-",Calculation!C3,Calculation!D3,Calculation!E3,"-",VLOOKUP($C$6,Calculation!$G$3:$I$21,3,FALSE))</f>
        <v>CLU7B2-0701C4-403M2R1</v>
      </c>
      <c r="C32" s="888"/>
      <c r="D32" s="889"/>
      <c r="E32" s="890">
        <f>HLOOKUP(E$31,Calculation!$C$31:$P$49,2,FALSE)</f>
        <v>450.8555576534539</v>
      </c>
      <c r="F32" s="891"/>
      <c r="G32" s="826">
        <f>HLOOKUP(G$31,Calculation!$C$31:$P$49,2,FALSE)</f>
        <v>21.508662040532087</v>
      </c>
      <c r="H32" s="827"/>
      <c r="I32" s="826">
        <f>HLOOKUP(I$31,Calculation!$C$31:$P$49,2,FALSE)</f>
        <v>3.2262993060798131</v>
      </c>
      <c r="J32" s="827"/>
      <c r="K32" s="881">
        <f>HLOOKUP(K$31,Calculation!$C$31:$P$49,2,FALSE)</f>
        <v>139.74387212117526</v>
      </c>
      <c r="L32" s="892"/>
      <c r="M32" s="881">
        <f>HLOOKUP(M$31,Calculation!$C$31:$P$49,2,FALSE)</f>
        <v>42.422016252830993</v>
      </c>
      <c r="N32" s="882"/>
    </row>
    <row r="33" spans="1:14" ht="17.100000000000001" customHeight="1">
      <c r="A33" s="24"/>
      <c r="B33" s="789" t="str">
        <f>CONCATENATE(Calculation!B4,"-",Calculation!C4,Calculation!D4,Calculation!E4,"-",VLOOKUP($C$6,Calculation!$G$3:$I$21,3,FALSE))</f>
        <v>CLU7A2-0403C9-403M2R1</v>
      </c>
      <c r="C33" s="884"/>
      <c r="D33" s="885"/>
      <c r="E33" s="792">
        <f>HLOOKUP(E$31,Calculation!$C$31:$P$49,3,FALSE)</f>
        <v>283.28270326198691</v>
      </c>
      <c r="F33" s="793"/>
      <c r="G33" s="796">
        <f>HLOOKUP(G$31,Calculation!$C$31:$P$49,3,FALSE)</f>
        <v>11.117566188815216</v>
      </c>
      <c r="H33" s="797"/>
      <c r="I33" s="796">
        <f>HLOOKUP(I$31,Calculation!$C$31:$P$49,3,FALSE)</f>
        <v>1.6676349283222824</v>
      </c>
      <c r="J33" s="797"/>
      <c r="K33" s="808">
        <f>HLOOKUP(K$31,Calculation!$C$31:$P$49,3,FALSE)</f>
        <v>169.87093424996942</v>
      </c>
      <c r="L33" s="886"/>
      <c r="M33" s="808">
        <f>HLOOKUP(M$31,Calculation!$C$31:$P$49,3,FALSE)</f>
        <v>30.002904784966848</v>
      </c>
      <c r="N33" s="809"/>
    </row>
    <row r="34" spans="1:14" ht="17.100000000000001" customHeight="1">
      <c r="A34" s="24"/>
      <c r="B34" s="840" t="str">
        <f>CONCATENATE(Calculation!B5,"-",Calculation!C5,Calculation!D5,Calculation!E5,"-",VLOOKUP($C$6,Calculation!$G$3:$I$21,3,FALSE))</f>
        <v>CLU7A2-1201C9-403M2R1</v>
      </c>
      <c r="C34" s="841"/>
      <c r="D34" s="842"/>
      <c r="E34" s="802">
        <f>HLOOKUP(E$31,Calculation!$C$31:$P$49,4,FALSE)</f>
        <v>777.4059100898254</v>
      </c>
      <c r="F34" s="803"/>
      <c r="G34" s="800">
        <f>HLOOKUP(G$31,Calculation!$C$31:$P$49,4,FALSE)</f>
        <v>35.917918814098698</v>
      </c>
      <c r="H34" s="801"/>
      <c r="I34" s="800">
        <f>HLOOKUP(I$31,Calculation!$C$31:$P$49,4,FALSE)</f>
        <v>5.3876878221148043</v>
      </c>
      <c r="J34" s="801"/>
      <c r="K34" s="804">
        <f>HLOOKUP(K$31,Calculation!$C$31:$P$49,4,FALSE)</f>
        <v>144.29305033205762</v>
      </c>
      <c r="L34" s="836"/>
      <c r="M34" s="804">
        <f>HLOOKUP(M$31,Calculation!$C$31:$P$49,4,FALSE)</f>
        <v>41.163063466344411</v>
      </c>
      <c r="N34" s="805"/>
    </row>
    <row r="35" spans="1:14" ht="17.100000000000001" customHeight="1">
      <c r="A35" s="24"/>
      <c r="B35" s="837" t="str">
        <f>CONCATENATE(Calculation!B6,"-",Calculation!C6,Calculation!D6,Calculation!E6,"-",VLOOKUP($C$6,Calculation!$G$3:$I$21,3,FALSE))</f>
        <v>CLU702-1202C9-403M2R1</v>
      </c>
      <c r="C35" s="838"/>
      <c r="D35" s="839"/>
      <c r="E35" s="846">
        <f>HLOOKUP(E$31,Calculation!$C$31:$P$49,5,FALSE)</f>
        <v>838.94003122820936</v>
      </c>
      <c r="F35" s="847"/>
      <c r="G35" s="824">
        <f>HLOOKUP(G$31,Calculation!$C$31:$P$49,5,FALSE)</f>
        <v>34.008957906545788</v>
      </c>
      <c r="H35" s="825"/>
      <c r="I35" s="824">
        <f>HLOOKUP(I$31,Calculation!$C$31:$P$49,5,FALSE)</f>
        <v>5.1013436859818686</v>
      </c>
      <c r="J35" s="825"/>
      <c r="K35" s="806">
        <f>HLOOKUP(K$31,Calculation!$C$31:$P$49,5,FALSE)</f>
        <v>164.45471680991758</v>
      </c>
      <c r="L35" s="878"/>
      <c r="M35" s="806">
        <f>HLOOKUP(M$31,Calculation!$C$31:$P$49,5,FALSE)</f>
        <v>33.162149897570991</v>
      </c>
      <c r="N35" s="807"/>
    </row>
    <row r="36" spans="1:14" ht="17.100000000000001" customHeight="1" thickBot="1">
      <c r="A36" s="24"/>
      <c r="B36" s="894" t="str">
        <f>CONCATENATE(Calculation!B7,"-",Calculation!C7,Calculation!D7,Calculation!E7,"-",VLOOKUP($C$6,Calculation!$G$3:$I$21,3,FALSE))</f>
        <v>CLU712-1204C9-403M2R1</v>
      </c>
      <c r="C36" s="895"/>
      <c r="D36" s="896"/>
      <c r="E36" s="897">
        <f>HLOOKUP(E$31,Calculation!$C$31:$P$49,6,FALSE)</f>
        <v>876.47948153503103</v>
      </c>
      <c r="F36" s="898"/>
      <c r="G36" s="899">
        <f>HLOOKUP(G$31,Calculation!$C$31:$P$49,6,FALSE)</f>
        <v>32.930905018697523</v>
      </c>
      <c r="H36" s="900"/>
      <c r="I36" s="899">
        <f>HLOOKUP(I$31,Calculation!$C$31:$P$49,6,FALSE)</f>
        <v>4.9396357528046284</v>
      </c>
      <c r="J36" s="900"/>
      <c r="K36" s="901">
        <f>HLOOKUP(K$31,Calculation!$C$31:$P$49,6,FALSE)</f>
        <v>177.43807952588065</v>
      </c>
      <c r="L36" s="902"/>
      <c r="M36" s="901">
        <f>HLOOKUP(M$31,Calculation!$C$31:$P$49,6,FALSE)</f>
        <v>29.495068535052212</v>
      </c>
      <c r="N36" s="903"/>
    </row>
    <row r="37" spans="1:14" ht="24.75" customHeight="1">
      <c r="B37" s="2"/>
      <c r="C37" s="19" t="s">
        <v>94</v>
      </c>
      <c r="D37" s="2"/>
      <c r="N37" s="27" t="s">
        <v>686</v>
      </c>
    </row>
    <row r="38" spans="1:14">
      <c r="B38" s="24"/>
      <c r="C38" s="24"/>
      <c r="D38" s="24"/>
      <c r="M38" s="893"/>
      <c r="N38" s="893"/>
    </row>
    <row r="39" spans="1:14">
      <c r="B39" s="182" t="s">
        <v>95</v>
      </c>
      <c r="C39" s="24"/>
      <c r="D39" s="24"/>
      <c r="M39" s="893"/>
      <c r="N39" s="893"/>
    </row>
    <row r="40" spans="1:14">
      <c r="B40" s="182" t="s">
        <v>96</v>
      </c>
      <c r="C40" s="24"/>
      <c r="D40" s="24"/>
    </row>
    <row r="41" spans="1:14">
      <c r="B41" s="182" t="s">
        <v>97</v>
      </c>
      <c r="C41" s="24"/>
      <c r="D41" s="24"/>
    </row>
    <row r="42" spans="1:14">
      <c r="B42" s="182" t="s">
        <v>98</v>
      </c>
      <c r="C42" s="24"/>
      <c r="D42" s="24"/>
    </row>
    <row r="43" spans="1:14">
      <c r="B43" s="25"/>
      <c r="C43" s="25"/>
      <c r="D43" s="25"/>
    </row>
    <row r="44" spans="1:14">
      <c r="B44" s="25"/>
      <c r="C44" s="25"/>
      <c r="D44" s="25"/>
    </row>
  </sheetData>
  <sheetProtection password="A7EA" sheet="1" objects="1" scenarios="1"/>
  <dataConsolidate/>
  <mergeCells count="153">
    <mergeCell ref="M39:N39"/>
    <mergeCell ref="B35:D35"/>
    <mergeCell ref="E35:F35"/>
    <mergeCell ref="G35:H35"/>
    <mergeCell ref="I35:J35"/>
    <mergeCell ref="K35:L35"/>
    <mergeCell ref="M35:N35"/>
    <mergeCell ref="B36:D36"/>
    <mergeCell ref="E36:F36"/>
    <mergeCell ref="G36:H36"/>
    <mergeCell ref="I36:J36"/>
    <mergeCell ref="K36:L36"/>
    <mergeCell ref="M36:N36"/>
    <mergeCell ref="M38:N38"/>
    <mergeCell ref="B29:D30"/>
    <mergeCell ref="E29:F30"/>
    <mergeCell ref="G29:H30"/>
    <mergeCell ref="I29:J30"/>
    <mergeCell ref="K29:L30"/>
    <mergeCell ref="M29:N30"/>
    <mergeCell ref="B34:D34"/>
    <mergeCell ref="E34:F34"/>
    <mergeCell ref="G34:H34"/>
    <mergeCell ref="I34:J34"/>
    <mergeCell ref="K34:L34"/>
    <mergeCell ref="M34:N34"/>
    <mergeCell ref="B33:D33"/>
    <mergeCell ref="E33:F33"/>
    <mergeCell ref="G33:H33"/>
    <mergeCell ref="I33:J33"/>
    <mergeCell ref="K33:L33"/>
    <mergeCell ref="M33:N33"/>
    <mergeCell ref="B32:D32"/>
    <mergeCell ref="E32:F32"/>
    <mergeCell ref="G32:H32"/>
    <mergeCell ref="I32:J32"/>
    <mergeCell ref="K32:L32"/>
    <mergeCell ref="M32:N32"/>
    <mergeCell ref="Z9:AA9"/>
    <mergeCell ref="P5:Q5"/>
    <mergeCell ref="S5:U5"/>
    <mergeCell ref="X5:Z5"/>
    <mergeCell ref="P6:Q6"/>
    <mergeCell ref="S6:U6"/>
    <mergeCell ref="X6:Z6"/>
    <mergeCell ref="K25:L25"/>
    <mergeCell ref="K26:L26"/>
    <mergeCell ref="K17:L17"/>
    <mergeCell ref="K18:L18"/>
    <mergeCell ref="K19:L19"/>
    <mergeCell ref="M13:N13"/>
    <mergeCell ref="M14:N14"/>
    <mergeCell ref="M15:N15"/>
    <mergeCell ref="M12:N12"/>
    <mergeCell ref="K22:L22"/>
    <mergeCell ref="K24:L24"/>
    <mergeCell ref="K20:L20"/>
    <mergeCell ref="M16:N16"/>
    <mergeCell ref="K16:L16"/>
    <mergeCell ref="K15:L15"/>
    <mergeCell ref="K12:L12"/>
    <mergeCell ref="K13:L13"/>
    <mergeCell ref="P3:Y3"/>
    <mergeCell ref="B9:D10"/>
    <mergeCell ref="E9:F10"/>
    <mergeCell ref="G9:H10"/>
    <mergeCell ref="I9:J10"/>
    <mergeCell ref="K9:L10"/>
    <mergeCell ref="M9:N10"/>
    <mergeCell ref="L6:M6"/>
    <mergeCell ref="J6:K6"/>
    <mergeCell ref="P9:P10"/>
    <mergeCell ref="Q9:U9"/>
    <mergeCell ref="X9:Y9"/>
    <mergeCell ref="B12:D12"/>
    <mergeCell ref="G13:H13"/>
    <mergeCell ref="B27:D27"/>
    <mergeCell ref="E27:F27"/>
    <mergeCell ref="G27:H27"/>
    <mergeCell ref="I27:J27"/>
    <mergeCell ref="K27:L27"/>
    <mergeCell ref="I17:J17"/>
    <mergeCell ref="K21:L21"/>
    <mergeCell ref="G20:H20"/>
    <mergeCell ref="G21:H21"/>
    <mergeCell ref="B26:D26"/>
    <mergeCell ref="B22:D22"/>
    <mergeCell ref="B24:D24"/>
    <mergeCell ref="B25:D25"/>
    <mergeCell ref="G26:H26"/>
    <mergeCell ref="G22:H22"/>
    <mergeCell ref="G24:H24"/>
    <mergeCell ref="G25:H25"/>
    <mergeCell ref="B23:D23"/>
    <mergeCell ref="K23:L23"/>
    <mergeCell ref="E26:F26"/>
    <mergeCell ref="E12:F12"/>
    <mergeCell ref="B21:D21"/>
    <mergeCell ref="M19:N19"/>
    <mergeCell ref="M20:N20"/>
    <mergeCell ref="M24:N24"/>
    <mergeCell ref="M21:N21"/>
    <mergeCell ref="M22:N22"/>
    <mergeCell ref="M23:N23"/>
    <mergeCell ref="I25:J25"/>
    <mergeCell ref="I26:J26"/>
    <mergeCell ref="G12:H12"/>
    <mergeCell ref="I13:J13"/>
    <mergeCell ref="I14:J14"/>
    <mergeCell ref="I15:J15"/>
    <mergeCell ref="I12:J12"/>
    <mergeCell ref="I18:J18"/>
    <mergeCell ref="I19:J19"/>
    <mergeCell ref="I20:J20"/>
    <mergeCell ref="E21:F21"/>
    <mergeCell ref="B13:D13"/>
    <mergeCell ref="B14:D14"/>
    <mergeCell ref="B15:D15"/>
    <mergeCell ref="B17:D17"/>
    <mergeCell ref="B18:D18"/>
    <mergeCell ref="B19:D19"/>
    <mergeCell ref="E19:F19"/>
    <mergeCell ref="B20:D20"/>
    <mergeCell ref="E18:F18"/>
    <mergeCell ref="E17:F17"/>
    <mergeCell ref="E20:F20"/>
    <mergeCell ref="E14:F14"/>
    <mergeCell ref="E15:F15"/>
    <mergeCell ref="E13:F13"/>
    <mergeCell ref="M27:N27"/>
    <mergeCell ref="K14:L14"/>
    <mergeCell ref="B16:D16"/>
    <mergeCell ref="E16:F16"/>
    <mergeCell ref="G15:H15"/>
    <mergeCell ref="G17:H17"/>
    <mergeCell ref="G18:H18"/>
    <mergeCell ref="I22:J22"/>
    <mergeCell ref="I24:J24"/>
    <mergeCell ref="I21:J21"/>
    <mergeCell ref="G19:H19"/>
    <mergeCell ref="E24:F24"/>
    <mergeCell ref="E23:F23"/>
    <mergeCell ref="G23:H23"/>
    <mergeCell ref="I23:J23"/>
    <mergeCell ref="E22:F22"/>
    <mergeCell ref="G14:H14"/>
    <mergeCell ref="G16:H16"/>
    <mergeCell ref="I16:J16"/>
    <mergeCell ref="E25:F25"/>
    <mergeCell ref="M25:N25"/>
    <mergeCell ref="M26:N26"/>
    <mergeCell ref="M17:N17"/>
    <mergeCell ref="M18:N18"/>
  </mergeCells>
  <phoneticPr fontId="7"/>
  <conditionalFormatting sqref="E14:N15 E22:N22 E17:N20 E24:N25">
    <cfRule type="cellIs" dxfId="82" priority="236" stopIfTrue="1" operator="equal">
      <formula>"Not Applicable"</formula>
    </cfRule>
  </conditionalFormatting>
  <conditionalFormatting sqref="E13:N13">
    <cfRule type="cellIs" dxfId="81" priority="237" stopIfTrue="1" operator="equal">
      <formula>"Not Applicable"</formula>
    </cfRule>
  </conditionalFormatting>
  <conditionalFormatting sqref="L6:M6">
    <cfRule type="cellIs" dxfId="80" priority="239" stopIfTrue="1" operator="greaterThanOrEqual">
      <formula>130.001</formula>
    </cfRule>
    <cfRule type="cellIs" dxfId="79" priority="240" stopIfTrue="1" operator="lessThanOrEqual">
      <formula>-40.001</formula>
    </cfRule>
  </conditionalFormatting>
  <conditionalFormatting sqref="E26:N26">
    <cfRule type="cellIs" dxfId="78" priority="241" stopIfTrue="1" operator="equal">
      <formula>"Not Applicable"</formula>
    </cfRule>
  </conditionalFormatting>
  <conditionalFormatting sqref="E12:N12">
    <cfRule type="cellIs" dxfId="77" priority="226" stopIfTrue="1" operator="equal">
      <formula>"Not Applicable"</formula>
    </cfRule>
  </conditionalFormatting>
  <conditionalFormatting sqref="E27:N27">
    <cfRule type="cellIs" dxfId="76" priority="225" stopIfTrue="1" operator="equal">
      <formula>"Not Applicable"</formula>
    </cfRule>
  </conditionalFormatting>
  <conditionalFormatting sqref="E21:N21">
    <cfRule type="cellIs" dxfId="75" priority="224" stopIfTrue="1" operator="equal">
      <formula>"Not Applicable"</formula>
    </cfRule>
  </conditionalFormatting>
  <conditionalFormatting sqref="E16:N16">
    <cfRule type="cellIs" dxfId="74" priority="223" stopIfTrue="1" operator="equal">
      <formula>"Not Applicable"</formula>
    </cfRule>
  </conditionalFormatting>
  <conditionalFormatting sqref="E23:N23">
    <cfRule type="cellIs" dxfId="73" priority="222" stopIfTrue="1" operator="equal">
      <formula>"Not Applicable"</formula>
    </cfRule>
  </conditionalFormatting>
  <conditionalFormatting sqref="S17:S19 P17:Q19 U17:V19 X17:AA19">
    <cfRule type="cellIs" dxfId="72" priority="220" stopIfTrue="1" operator="equal">
      <formula>"Not Applicable"</formula>
    </cfRule>
  </conditionalFormatting>
  <conditionalFormatting sqref="T12:T13 R12:R13">
    <cfRule type="cellIs" dxfId="71" priority="221" stopIfTrue="1" operator="equal">
      <formula>"Not Applicable"</formula>
    </cfRule>
  </conditionalFormatting>
  <conditionalFormatting sqref="AB17:AB19">
    <cfRule type="expression" dxfId="70" priority="219" stopIfTrue="1">
      <formula>"Not Applicable"</formula>
    </cfRule>
  </conditionalFormatting>
  <conditionalFormatting sqref="AB13:AB15">
    <cfRule type="expression" dxfId="69" priority="216" stopIfTrue="1">
      <formula>"Not Applicable"</formula>
    </cfRule>
  </conditionalFormatting>
  <conditionalFormatting sqref="V13:V15">
    <cfRule type="cellIs" dxfId="68" priority="209" stopIfTrue="1" operator="equal">
      <formula>"Not Applicable"</formula>
    </cfRule>
  </conditionalFormatting>
  <conditionalFormatting sqref="Y13:Y15">
    <cfRule type="cellIs" dxfId="67" priority="208" stopIfTrue="1" operator="equal">
      <formula>"Not Applicable"</formula>
    </cfRule>
  </conditionalFormatting>
  <conditionalFormatting sqref="AA13:AA15">
    <cfRule type="cellIs" dxfId="66" priority="205" stopIfTrue="1" operator="equal">
      <formula>"Not Applicable"</formula>
    </cfRule>
  </conditionalFormatting>
  <conditionalFormatting sqref="X13:X15">
    <cfRule type="cellIs" dxfId="65" priority="204" stopIfTrue="1" operator="equal">
      <formula>"Not Applicable"</formula>
    </cfRule>
  </conditionalFormatting>
  <conditionalFormatting sqref="Z13:Z15">
    <cfRule type="cellIs" dxfId="64" priority="203" stopIfTrue="1" operator="equal">
      <formula>"Not Applicable"</formula>
    </cfRule>
  </conditionalFormatting>
  <conditionalFormatting sqref="U13:U15 Q13:Q15">
    <cfRule type="cellIs" dxfId="63" priority="202" stopIfTrue="1" operator="equal">
      <formula>"Not Applicable"</formula>
    </cfRule>
  </conditionalFormatting>
  <conditionalFormatting sqref="S16">
    <cfRule type="cellIs" dxfId="62" priority="166" stopIfTrue="1" operator="equal">
      <formula>"Not Applicable"</formula>
    </cfRule>
  </conditionalFormatting>
  <conditionalFormatting sqref="S13:S15">
    <cfRule type="cellIs" dxfId="61" priority="201" stopIfTrue="1" operator="equal">
      <formula>"Not Applicable"</formula>
    </cfRule>
  </conditionalFormatting>
  <conditionalFormatting sqref="Q16 U16">
    <cfRule type="cellIs" dxfId="60" priority="167" stopIfTrue="1" operator="equal">
      <formula>"Not Applicable"</formula>
    </cfRule>
  </conditionalFormatting>
  <conditionalFormatting sqref="P13:P15">
    <cfRule type="cellIs" dxfId="59" priority="200" stopIfTrue="1" operator="equal">
      <formula>"Not Applicable"</formula>
    </cfRule>
  </conditionalFormatting>
  <conditionalFormatting sqref="P16">
    <cfRule type="cellIs" dxfId="58" priority="165" stopIfTrue="1" operator="equal">
      <formula>"Not Applicable"</formula>
    </cfRule>
  </conditionalFormatting>
  <conditionalFormatting sqref="AB12">
    <cfRule type="expression" dxfId="57" priority="193" stopIfTrue="1">
      <formula>"Not Applicable"</formula>
    </cfRule>
  </conditionalFormatting>
  <conditionalFormatting sqref="V12">
    <cfRule type="cellIs" dxfId="56" priority="188" stopIfTrue="1" operator="equal">
      <formula>"Not Applicable"</formula>
    </cfRule>
  </conditionalFormatting>
  <conditionalFormatting sqref="Y12">
    <cfRule type="cellIs" dxfId="55" priority="187" stopIfTrue="1" operator="equal">
      <formula>"Not Applicable"</formula>
    </cfRule>
  </conditionalFormatting>
  <conditionalFormatting sqref="AA12">
    <cfRule type="cellIs" dxfId="54" priority="184" stopIfTrue="1" operator="equal">
      <formula>"Not Applicable"</formula>
    </cfRule>
  </conditionalFormatting>
  <conditionalFormatting sqref="X12">
    <cfRule type="cellIs" dxfId="53" priority="183" stopIfTrue="1" operator="equal">
      <formula>"Not Applicable"</formula>
    </cfRule>
  </conditionalFormatting>
  <conditionalFormatting sqref="Z12">
    <cfRule type="cellIs" dxfId="52" priority="182" stopIfTrue="1" operator="equal">
      <formula>"Not Applicable"</formula>
    </cfRule>
  </conditionalFormatting>
  <conditionalFormatting sqref="U12 Q12">
    <cfRule type="cellIs" dxfId="51" priority="181" stopIfTrue="1" operator="equal">
      <formula>"Not Applicable"</formula>
    </cfRule>
  </conditionalFormatting>
  <conditionalFormatting sqref="S12">
    <cfRule type="cellIs" dxfId="50" priority="180" stopIfTrue="1" operator="equal">
      <formula>"Not Applicable"</formula>
    </cfRule>
  </conditionalFormatting>
  <conditionalFormatting sqref="P12">
    <cfRule type="cellIs" dxfId="49" priority="179" stopIfTrue="1" operator="equal">
      <formula>"Not Applicable"</formula>
    </cfRule>
  </conditionalFormatting>
  <conditionalFormatting sqref="AB16">
    <cfRule type="expression" dxfId="48" priority="174" stopIfTrue="1">
      <formula>"Not Applicable"</formula>
    </cfRule>
  </conditionalFormatting>
  <conditionalFormatting sqref="V16">
    <cfRule type="cellIs" dxfId="47" priority="160" stopIfTrue="1" operator="equal">
      <formula>"Not Applicable"</formula>
    </cfRule>
  </conditionalFormatting>
  <conditionalFormatting sqref="X16:AA16">
    <cfRule type="cellIs" dxfId="46" priority="159" stopIfTrue="1" operator="equal">
      <formula>"Not Applicable"</formula>
    </cfRule>
  </conditionalFormatting>
  <conditionalFormatting sqref="S21 P21:Q21 U21:V21 X21:AA21">
    <cfRule type="cellIs" dxfId="45" priority="157" stopIfTrue="1" operator="equal">
      <formula>"Not Applicable"</formula>
    </cfRule>
  </conditionalFormatting>
  <conditionalFormatting sqref="AB21">
    <cfRule type="expression" dxfId="44" priority="156" stopIfTrue="1">
      <formula>"Not Applicable"</formula>
    </cfRule>
  </conditionalFormatting>
  <conditionalFormatting sqref="S22 P22:Q22 U22:V22 X22:AA22">
    <cfRule type="cellIs" dxfId="43" priority="154" stopIfTrue="1" operator="equal">
      <formula>"Not Applicable"</formula>
    </cfRule>
  </conditionalFormatting>
  <conditionalFormatting sqref="AB22">
    <cfRule type="expression" dxfId="42" priority="153" stopIfTrue="1">
      <formula>"Not Applicable"</formula>
    </cfRule>
  </conditionalFormatting>
  <conditionalFormatting sqref="S23 P23:Q23 U23:V23 X23:AA23">
    <cfRule type="cellIs" dxfId="41" priority="151" stopIfTrue="1" operator="equal">
      <formula>"Not Applicable"</formula>
    </cfRule>
  </conditionalFormatting>
  <conditionalFormatting sqref="AB23">
    <cfRule type="expression" dxfId="40" priority="150" stopIfTrue="1">
      <formula>"Not Applicable"</formula>
    </cfRule>
  </conditionalFormatting>
  <conditionalFormatting sqref="W17:W19">
    <cfRule type="cellIs" dxfId="39" priority="115" stopIfTrue="1" operator="equal">
      <formula>"Not Applicable"</formula>
    </cfRule>
  </conditionalFormatting>
  <conditionalFormatting sqref="W13:W15">
    <cfRule type="cellIs" dxfId="38" priority="114" stopIfTrue="1" operator="equal">
      <formula>"Not Applicable"</formula>
    </cfRule>
  </conditionalFormatting>
  <conditionalFormatting sqref="W16">
    <cfRule type="cellIs" dxfId="37" priority="112" stopIfTrue="1" operator="equal">
      <formula>"Not Applicable"</formula>
    </cfRule>
  </conditionalFormatting>
  <conditionalFormatting sqref="W12">
    <cfRule type="cellIs" dxfId="36" priority="113" stopIfTrue="1" operator="equal">
      <formula>"Not Applicable"</formula>
    </cfRule>
  </conditionalFormatting>
  <conditionalFormatting sqref="W21">
    <cfRule type="cellIs" dxfId="35" priority="111" stopIfTrue="1" operator="equal">
      <formula>"Not Applicable"</formula>
    </cfRule>
  </conditionalFormatting>
  <conditionalFormatting sqref="W22">
    <cfRule type="cellIs" dxfId="34" priority="110" stopIfTrue="1" operator="equal">
      <formula>"Not Applicable"</formula>
    </cfRule>
  </conditionalFormatting>
  <conditionalFormatting sqref="W23">
    <cfRule type="cellIs" dxfId="33" priority="109" stopIfTrue="1" operator="equal">
      <formula>"Not Applicable"</formula>
    </cfRule>
  </conditionalFormatting>
  <conditionalFormatting sqref="S26">
    <cfRule type="cellIs" dxfId="32" priority="76" stopIfTrue="1" operator="equal">
      <formula>"Not Applicable"</formula>
    </cfRule>
  </conditionalFormatting>
  <conditionalFormatting sqref="U27 Q27">
    <cfRule type="cellIs" dxfId="31" priority="78" stopIfTrue="1" operator="equal">
      <formula>"Not Applicable"</formula>
    </cfRule>
  </conditionalFormatting>
  <conditionalFormatting sqref="P26">
    <cfRule type="cellIs" dxfId="30" priority="73" stopIfTrue="1" operator="equal">
      <formula>"Not Applicable"</formula>
    </cfRule>
  </conditionalFormatting>
  <conditionalFormatting sqref="V26">
    <cfRule type="cellIs" dxfId="29" priority="64" stopIfTrue="1" operator="equal">
      <formula>"Not Applicable"</formula>
    </cfRule>
  </conditionalFormatting>
  <conditionalFormatting sqref="X26:AA26">
    <cfRule type="cellIs" dxfId="28" priority="61" stopIfTrue="1" operator="equal">
      <formula>"Not Applicable"</formula>
    </cfRule>
  </conditionalFormatting>
  <conditionalFormatting sqref="X27:AA27">
    <cfRule type="cellIs" dxfId="27" priority="60" stopIfTrue="1" operator="equal">
      <formula>"Not Applicable"</formula>
    </cfRule>
  </conditionalFormatting>
  <conditionalFormatting sqref="AB26:AB27">
    <cfRule type="expression" dxfId="26" priority="87" stopIfTrue="1">
      <formula>"Not Applicable"</formula>
    </cfRule>
  </conditionalFormatting>
  <conditionalFormatting sqref="Q26:Q27 U26:U27">
    <cfRule type="cellIs" dxfId="25" priority="80" stopIfTrue="1" operator="equal">
      <formula>"Not Applicable"</formula>
    </cfRule>
  </conditionalFormatting>
  <conditionalFormatting sqref="U26 Q26">
    <cfRule type="cellIs" dxfId="24" priority="79" stopIfTrue="1" operator="equal">
      <formula>"Not Applicable"</formula>
    </cfRule>
  </conditionalFormatting>
  <conditionalFormatting sqref="S26:S27">
    <cfRule type="cellIs" dxfId="23" priority="77" stopIfTrue="1" operator="equal">
      <formula>"Not Applicable"</formula>
    </cfRule>
  </conditionalFormatting>
  <conditionalFormatting sqref="S27">
    <cfRule type="cellIs" dxfId="22" priority="75" stopIfTrue="1" operator="equal">
      <formula>"Not Applicable"</formula>
    </cfRule>
  </conditionalFormatting>
  <conditionalFormatting sqref="P26:P27">
    <cfRule type="cellIs" dxfId="21" priority="74" stopIfTrue="1" operator="equal">
      <formula>"Not Applicable"</formula>
    </cfRule>
  </conditionalFormatting>
  <conditionalFormatting sqref="P27">
    <cfRule type="cellIs" dxfId="20" priority="72" stopIfTrue="1" operator="equal">
      <formula>"Not Applicable"</formula>
    </cfRule>
  </conditionalFormatting>
  <conditionalFormatting sqref="V26:V27">
    <cfRule type="cellIs" dxfId="19" priority="65" stopIfTrue="1" operator="equal">
      <formula>"Not Applicable"</formula>
    </cfRule>
  </conditionalFormatting>
  <conditionalFormatting sqref="V27">
    <cfRule type="cellIs" dxfId="18" priority="63" stopIfTrue="1" operator="equal">
      <formula>"Not Applicable"</formula>
    </cfRule>
  </conditionalFormatting>
  <conditionalFormatting sqref="X26:AA27">
    <cfRule type="cellIs" dxfId="17" priority="62" stopIfTrue="1" operator="equal">
      <formula>"Not Applicable"</formula>
    </cfRule>
  </conditionalFormatting>
  <conditionalFormatting sqref="W27">
    <cfRule type="cellIs" dxfId="16" priority="57" stopIfTrue="1" operator="equal">
      <formula>"Not Applicable"</formula>
    </cfRule>
  </conditionalFormatting>
  <conditionalFormatting sqref="W26:W27">
    <cfRule type="cellIs" dxfId="15" priority="59" stopIfTrue="1" operator="equal">
      <formula>"Not Applicable"</formula>
    </cfRule>
  </conditionalFormatting>
  <conditionalFormatting sqref="W26">
    <cfRule type="cellIs" dxfId="14" priority="58" stopIfTrue="1" operator="equal">
      <formula>"Not Applicable"</formula>
    </cfRule>
  </conditionalFormatting>
  <conditionalFormatting sqref="S20 P20:Q20 U20:V20 X20:AA20">
    <cfRule type="cellIs" dxfId="13" priority="55" stopIfTrue="1" operator="equal">
      <formula>"Not Applicable"</formula>
    </cfRule>
  </conditionalFormatting>
  <conditionalFormatting sqref="AB20">
    <cfRule type="expression" dxfId="12" priority="54" stopIfTrue="1">
      <formula>"Not Applicable"</formula>
    </cfRule>
  </conditionalFormatting>
  <conditionalFormatting sqref="W20">
    <cfRule type="cellIs" dxfId="11" priority="53" stopIfTrue="1" operator="equal">
      <formula>"Not Applicable"</formula>
    </cfRule>
  </conditionalFormatting>
  <conditionalFormatting sqref="S24:S25 P24:Q25 U24:V25 X24:AA25">
    <cfRule type="cellIs" dxfId="10" priority="51" stopIfTrue="1" operator="equal">
      <formula>"Not Applicable"</formula>
    </cfRule>
  </conditionalFormatting>
  <conditionalFormatting sqref="AB24:AB25">
    <cfRule type="expression" dxfId="9" priority="50" stopIfTrue="1">
      <formula>"Not Applicable"</formula>
    </cfRule>
  </conditionalFormatting>
  <conditionalFormatting sqref="W24:W25">
    <cfRule type="cellIs" dxfId="8" priority="49" stopIfTrue="1" operator="equal">
      <formula>"Not Applicable"</formula>
    </cfRule>
  </conditionalFormatting>
  <conditionalFormatting sqref="T14:T27">
    <cfRule type="cellIs" dxfId="7" priority="48" stopIfTrue="1" operator="equal">
      <formula>"Not Applicable"</formula>
    </cfRule>
  </conditionalFormatting>
  <conditionalFormatting sqref="R14:R27">
    <cfRule type="cellIs" dxfId="6" priority="47" stopIfTrue="1" operator="equal">
      <formula>"Not Applicable"</formula>
    </cfRule>
  </conditionalFormatting>
  <conditionalFormatting sqref="E32:N32">
    <cfRule type="cellIs" dxfId="5" priority="5" stopIfTrue="1" operator="equal">
      <formula>"Not Applicable"</formula>
    </cfRule>
  </conditionalFormatting>
  <conditionalFormatting sqref="E33:N33">
    <cfRule type="cellIs" dxfId="4" priority="4" stopIfTrue="1" operator="equal">
      <formula>"Not Applicable"</formula>
    </cfRule>
  </conditionalFormatting>
  <conditionalFormatting sqref="E34:N34">
    <cfRule type="cellIs" dxfId="3" priority="3" stopIfTrue="1" operator="equal">
      <formula>"Not Applicable"</formula>
    </cfRule>
  </conditionalFormatting>
  <conditionalFormatting sqref="E35:N36">
    <cfRule type="cellIs" dxfId="2" priority="2" stopIfTrue="1" operator="equal">
      <formula>"Not Applicable"</formula>
    </cfRule>
  </conditionalFormatting>
  <pageMargins left="0.39370078740157483" right="0.39370078740157483" top="0.39370078740157483" bottom="0.39370078740157483" header="0.51181102362204722" footer="0.51181102362204722"/>
  <pageSetup paperSize="9" scale="14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Drop Down 14">
              <controlPr locked="0" defaultSize="0" autoLine="0" autoPict="0">
                <anchor moveWithCells="1">
                  <from>
                    <xdr:col>2</xdr:col>
                    <xdr:colOff>9525</xdr:colOff>
                    <xdr:row>4</xdr:row>
                    <xdr:rowOff>200025</xdr:rowOff>
                  </from>
                  <to>
                    <xdr:col>3</xdr:col>
                    <xdr:colOff>514350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Drop Down 17">
              <controlPr locked="0" defaultSize="0" autoLine="0" autoPict="0">
                <anchor moveWithCells="1">
                  <from>
                    <xdr:col>3</xdr:col>
                    <xdr:colOff>600075</xdr:colOff>
                    <xdr:row>4</xdr:row>
                    <xdr:rowOff>200025</xdr:rowOff>
                  </from>
                  <to>
                    <xdr:col>6</xdr:col>
                    <xdr:colOff>47625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184"/>
  <sheetViews>
    <sheetView topLeftCell="A50" zoomScale="70" zoomScaleNormal="70" workbookViewId="0">
      <selection activeCell="K82" sqref="K82"/>
    </sheetView>
  </sheetViews>
  <sheetFormatPr defaultColWidth="2.5" defaultRowHeight="23.25" customHeight="1"/>
  <cols>
    <col min="1" max="1" width="3.125" style="41" bestFit="1" customWidth="1"/>
    <col min="2" max="2" width="16.75" style="41" bestFit="1" customWidth="1"/>
    <col min="3" max="14" width="15.625" style="41" customWidth="1"/>
    <col min="15" max="17" width="21.375" style="41" customWidth="1"/>
    <col min="18" max="18" width="21.75" style="41" bestFit="1" customWidth="1"/>
    <col min="19" max="21" width="20.875" style="41" bestFit="1" customWidth="1"/>
    <col min="22" max="24" width="20.375" style="41" bestFit="1" customWidth="1"/>
    <col min="25" max="27" width="19.625" style="41" bestFit="1" customWidth="1"/>
    <col min="28" max="32" width="19.625" style="41" customWidth="1"/>
    <col min="33" max="16384" width="2.5" style="41"/>
  </cols>
  <sheetData>
    <row r="1" spans="1:17" ht="23.25" customHeight="1">
      <c r="B1" s="227" t="s">
        <v>172</v>
      </c>
    </row>
    <row r="2" spans="1:17" ht="16.5">
      <c r="A2" s="40"/>
      <c r="B2" s="40" t="s">
        <v>226</v>
      </c>
      <c r="C2" s="40" t="s">
        <v>10</v>
      </c>
      <c r="D2" s="41" t="s">
        <v>227</v>
      </c>
      <c r="E2" s="41" t="s">
        <v>236</v>
      </c>
      <c r="G2" s="40" t="s">
        <v>122</v>
      </c>
      <c r="H2" s="42" t="s">
        <v>11</v>
      </c>
      <c r="I2" s="42" t="s">
        <v>115</v>
      </c>
      <c r="J2" s="40"/>
      <c r="K2" s="40"/>
      <c r="L2" s="40"/>
      <c r="M2" s="40"/>
      <c r="N2" s="40"/>
      <c r="O2" s="40"/>
      <c r="P2" s="40"/>
    </row>
    <row r="3" spans="1:17" ht="16.5">
      <c r="A3" s="40"/>
      <c r="B3" s="43" t="s">
        <v>232</v>
      </c>
      <c r="C3" s="254" t="s">
        <v>228</v>
      </c>
      <c r="D3" s="256" t="s">
        <v>229</v>
      </c>
      <c r="E3" s="257" t="s">
        <v>237</v>
      </c>
      <c r="G3" s="208">
        <v>1</v>
      </c>
      <c r="H3" s="209" t="s">
        <v>101</v>
      </c>
      <c r="I3" s="208" t="s">
        <v>116</v>
      </c>
      <c r="J3" s="40"/>
      <c r="K3" s="40"/>
      <c r="L3" s="40"/>
      <c r="M3" s="40"/>
      <c r="N3" s="40"/>
      <c r="O3" s="40"/>
      <c r="P3" s="40"/>
    </row>
    <row r="4" spans="1:17" ht="16.5">
      <c r="A4" s="40"/>
      <c r="B4" s="43" t="s">
        <v>650</v>
      </c>
      <c r="C4" s="254" t="s">
        <v>231</v>
      </c>
      <c r="D4" s="256" t="s">
        <v>670</v>
      </c>
      <c r="E4" s="257" t="s">
        <v>238</v>
      </c>
      <c r="G4" s="208">
        <v>2</v>
      </c>
      <c r="H4" s="209" t="s">
        <v>605</v>
      </c>
      <c r="I4" s="208" t="s">
        <v>606</v>
      </c>
      <c r="J4" s="40"/>
      <c r="K4" s="40"/>
      <c r="L4" s="40"/>
      <c r="M4" s="40"/>
      <c r="N4" s="40"/>
      <c r="O4" s="40"/>
      <c r="P4" s="40"/>
      <c r="Q4" s="45"/>
    </row>
    <row r="5" spans="1:17" ht="16.5">
      <c r="A5" s="40"/>
      <c r="B5" s="43" t="s">
        <v>233</v>
      </c>
      <c r="C5" s="255">
        <v>12</v>
      </c>
      <c r="D5" s="256" t="s">
        <v>229</v>
      </c>
      <c r="E5" s="257" t="s">
        <v>238</v>
      </c>
      <c r="G5" s="208">
        <v>3</v>
      </c>
      <c r="H5" s="209" t="s">
        <v>102</v>
      </c>
      <c r="I5" s="208" t="s">
        <v>117</v>
      </c>
      <c r="J5" s="40"/>
      <c r="K5" s="40"/>
      <c r="L5" s="40"/>
      <c r="M5" s="40"/>
      <c r="N5" s="40"/>
      <c r="O5" s="40"/>
      <c r="P5" s="40"/>
      <c r="Q5" s="45"/>
    </row>
    <row r="6" spans="1:17" ht="16.5">
      <c r="A6" s="40"/>
      <c r="B6" s="43" t="s">
        <v>234</v>
      </c>
      <c r="C6" s="255">
        <v>12</v>
      </c>
      <c r="D6" s="256" t="s">
        <v>230</v>
      </c>
      <c r="E6" s="257" t="s">
        <v>238</v>
      </c>
      <c r="G6" s="208">
        <v>4</v>
      </c>
      <c r="H6" s="209" t="s">
        <v>103</v>
      </c>
      <c r="I6" s="208" t="s">
        <v>118</v>
      </c>
      <c r="J6" s="40"/>
      <c r="K6" s="40"/>
      <c r="L6" s="40"/>
      <c r="M6" s="40"/>
      <c r="N6" s="40"/>
      <c r="O6" s="40"/>
      <c r="P6" s="40"/>
      <c r="Q6" s="45"/>
    </row>
    <row r="7" spans="1:17" ht="16.5">
      <c r="A7" s="40"/>
      <c r="B7" s="43" t="s">
        <v>235</v>
      </c>
      <c r="C7" s="255">
        <v>12</v>
      </c>
      <c r="D7" s="256" t="s">
        <v>231</v>
      </c>
      <c r="E7" s="257" t="s">
        <v>239</v>
      </c>
      <c r="G7" s="208">
        <v>5</v>
      </c>
      <c r="H7" s="209" t="s">
        <v>104</v>
      </c>
      <c r="I7" s="208" t="s">
        <v>119</v>
      </c>
      <c r="K7" s="40"/>
      <c r="L7" s="40"/>
      <c r="M7" s="40"/>
      <c r="N7" s="40"/>
      <c r="O7" s="40"/>
      <c r="P7" s="40"/>
      <c r="Q7" s="45"/>
    </row>
    <row r="8" spans="1:17" ht="16.5">
      <c r="A8" s="40"/>
      <c r="B8" s="43"/>
      <c r="C8" s="43"/>
      <c r="D8" s="44"/>
      <c r="E8" s="257"/>
      <c r="G8" s="208">
        <v>6</v>
      </c>
      <c r="H8" s="209" t="s">
        <v>607</v>
      </c>
      <c r="I8" s="208" t="s">
        <v>608</v>
      </c>
      <c r="J8" s="40"/>
      <c r="Q8" s="45"/>
    </row>
    <row r="9" spans="1:17" ht="16.5">
      <c r="A9" s="40"/>
      <c r="B9" s="43"/>
      <c r="C9" s="43"/>
      <c r="D9" s="44"/>
      <c r="E9" s="257"/>
      <c r="G9" s="208">
        <v>7</v>
      </c>
      <c r="H9" s="209" t="s">
        <v>105</v>
      </c>
      <c r="I9" s="208" t="s">
        <v>120</v>
      </c>
      <c r="K9" s="40"/>
      <c r="L9" s="40"/>
      <c r="M9" s="40"/>
      <c r="N9" s="40"/>
      <c r="O9" s="40"/>
      <c r="P9" s="40"/>
      <c r="Q9" s="45"/>
    </row>
    <row r="10" spans="1:17" ht="16.5">
      <c r="A10" s="40"/>
      <c r="B10" s="43"/>
      <c r="C10" s="43"/>
      <c r="D10" s="44"/>
      <c r="E10" s="257"/>
      <c r="G10" s="208">
        <v>8</v>
      </c>
      <c r="H10" s="209" t="s">
        <v>106</v>
      </c>
      <c r="I10" s="208" t="s">
        <v>121</v>
      </c>
      <c r="J10" s="40"/>
      <c r="K10" s="40"/>
      <c r="L10" s="40"/>
      <c r="M10" s="40"/>
      <c r="N10" s="40"/>
      <c r="O10" s="40"/>
      <c r="P10" s="40"/>
    </row>
    <row r="11" spans="1:17" ht="16.5">
      <c r="A11" s="40"/>
      <c r="B11" s="43"/>
      <c r="C11" s="43"/>
      <c r="D11" s="44"/>
      <c r="E11" s="257"/>
      <c r="G11" s="208">
        <v>9</v>
      </c>
      <c r="H11" s="209" t="s">
        <v>123</v>
      </c>
      <c r="I11" s="208" t="s">
        <v>126</v>
      </c>
      <c r="J11" s="40"/>
      <c r="K11" s="40"/>
      <c r="L11" s="40"/>
      <c r="M11" s="40"/>
      <c r="N11" s="40"/>
      <c r="O11" s="40"/>
      <c r="P11" s="40"/>
    </row>
    <row r="12" spans="1:17" ht="16.5">
      <c r="A12" s="40"/>
      <c r="B12" s="43"/>
      <c r="C12" s="43"/>
      <c r="D12" s="44"/>
      <c r="E12" s="257"/>
      <c r="G12" s="208">
        <v>10</v>
      </c>
      <c r="H12" s="209" t="s">
        <v>680</v>
      </c>
      <c r="I12" s="208" t="s">
        <v>681</v>
      </c>
      <c r="J12" s="40"/>
      <c r="K12" s="40"/>
      <c r="L12" s="40"/>
      <c r="M12" s="40"/>
      <c r="N12" s="40"/>
      <c r="O12" s="40"/>
      <c r="P12" s="40"/>
    </row>
    <row r="13" spans="1:17" ht="16.5">
      <c r="A13" s="40"/>
      <c r="B13" s="43"/>
      <c r="C13" s="43"/>
      <c r="D13" s="44"/>
      <c r="E13" s="257"/>
      <c r="G13" s="208">
        <v>11</v>
      </c>
      <c r="H13" s="209" t="s">
        <v>124</v>
      </c>
      <c r="I13" s="208" t="s">
        <v>127</v>
      </c>
      <c r="J13" s="40"/>
      <c r="K13" s="40"/>
      <c r="L13" s="40"/>
      <c r="M13" s="40"/>
      <c r="N13" s="40"/>
      <c r="O13" s="40"/>
      <c r="P13" s="40"/>
    </row>
    <row r="14" spans="1:17" ht="16.5">
      <c r="A14" s="40"/>
      <c r="B14" s="43"/>
      <c r="C14" s="43"/>
      <c r="D14" s="44"/>
      <c r="E14" s="257"/>
      <c r="G14" s="208">
        <v>12</v>
      </c>
      <c r="H14" s="209" t="s">
        <v>125</v>
      </c>
      <c r="I14" s="208" t="s">
        <v>128</v>
      </c>
      <c r="J14" s="40"/>
      <c r="K14" s="40"/>
      <c r="L14" s="40"/>
      <c r="M14" s="40"/>
      <c r="N14" s="40"/>
      <c r="O14" s="40"/>
      <c r="P14" s="40"/>
    </row>
    <row r="15" spans="1:17" ht="16.5">
      <c r="A15" s="40"/>
      <c r="B15" s="43"/>
      <c r="C15" s="43"/>
      <c r="D15" s="44"/>
      <c r="E15" s="257"/>
      <c r="G15" s="208"/>
      <c r="H15" s="209"/>
      <c r="I15" s="208"/>
      <c r="J15" s="40"/>
      <c r="K15" s="40"/>
      <c r="L15" s="40"/>
      <c r="M15" s="40"/>
      <c r="N15" s="40"/>
      <c r="O15" s="40"/>
      <c r="P15" s="40"/>
    </row>
    <row r="16" spans="1:17" ht="16.5">
      <c r="A16" s="40"/>
      <c r="B16" s="43"/>
      <c r="C16" s="43"/>
      <c r="D16" s="44"/>
      <c r="E16" s="257"/>
      <c r="G16" s="208"/>
      <c r="H16" s="209"/>
      <c r="I16" s="208"/>
      <c r="J16" s="40"/>
      <c r="K16" s="40"/>
      <c r="L16" s="40"/>
      <c r="M16" s="40"/>
      <c r="N16" s="40"/>
      <c r="O16" s="40"/>
      <c r="P16" s="40"/>
    </row>
    <row r="17" spans="1:27" ht="16.5">
      <c r="A17" s="40"/>
      <c r="B17" s="43"/>
      <c r="C17" s="43"/>
      <c r="D17" s="44"/>
      <c r="E17" s="257"/>
      <c r="G17" s="208"/>
      <c r="H17" s="209"/>
      <c r="I17" s="208"/>
      <c r="J17" s="40"/>
      <c r="K17" s="40"/>
      <c r="L17" s="40"/>
      <c r="M17" s="40"/>
      <c r="N17" s="40"/>
      <c r="O17" s="40"/>
      <c r="P17" s="40"/>
    </row>
    <row r="18" spans="1:27" ht="16.5">
      <c r="A18" s="40"/>
      <c r="B18" s="43"/>
      <c r="C18" s="43"/>
      <c r="D18" s="44"/>
      <c r="E18" s="257"/>
      <c r="G18" s="208"/>
      <c r="H18" s="209"/>
      <c r="I18" s="208"/>
      <c r="J18" s="40"/>
      <c r="K18" s="40"/>
      <c r="L18" s="40"/>
      <c r="M18" s="40"/>
      <c r="N18" s="40"/>
      <c r="O18" s="40"/>
      <c r="P18" s="40"/>
    </row>
    <row r="19" spans="1:27" ht="16.5">
      <c r="A19" s="40"/>
      <c r="B19" s="43"/>
      <c r="C19" s="43"/>
      <c r="D19" s="44"/>
      <c r="E19" s="257"/>
      <c r="G19" s="208"/>
      <c r="H19" s="209"/>
      <c r="I19" s="208"/>
      <c r="J19" s="40"/>
      <c r="K19" s="40"/>
      <c r="L19" s="40"/>
      <c r="M19" s="40"/>
      <c r="N19" s="40"/>
      <c r="O19" s="40"/>
      <c r="P19" s="40"/>
    </row>
    <row r="20" spans="1:27" ht="16.5">
      <c r="A20" s="40"/>
      <c r="B20" s="43"/>
      <c r="C20" s="43"/>
      <c r="D20" s="44"/>
      <c r="E20" s="257"/>
      <c r="G20" s="208"/>
      <c r="H20" s="209"/>
      <c r="I20" s="208"/>
      <c r="J20" s="40"/>
      <c r="K20" s="40"/>
      <c r="L20" s="40"/>
      <c r="M20" s="40"/>
      <c r="N20" s="40"/>
      <c r="O20" s="40"/>
      <c r="P20" s="40"/>
    </row>
    <row r="21" spans="1:27" ht="16.5">
      <c r="A21" s="40"/>
      <c r="B21" s="43"/>
      <c r="C21" s="43"/>
      <c r="D21" s="44"/>
      <c r="E21" s="257"/>
      <c r="G21" s="208"/>
      <c r="H21" s="209"/>
      <c r="I21" s="208"/>
      <c r="J21" s="40"/>
      <c r="K21" s="40"/>
      <c r="L21" s="40"/>
      <c r="M21" s="40"/>
      <c r="N21" s="40"/>
      <c r="O21" s="40"/>
      <c r="P21" s="40"/>
    </row>
    <row r="22" spans="1:27" ht="16.5">
      <c r="A22" s="40"/>
      <c r="B22" s="40"/>
      <c r="C22" s="40"/>
      <c r="D22" s="40"/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27" ht="16.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</row>
    <row r="24" spans="1:27" ht="16.5">
      <c r="A24" s="40">
        <v>1</v>
      </c>
      <c r="B24" s="46" t="s">
        <v>12</v>
      </c>
      <c r="C24" s="40" t="s">
        <v>13</v>
      </c>
      <c r="D24" s="40" t="s">
        <v>57</v>
      </c>
      <c r="E24" s="40" t="s">
        <v>48</v>
      </c>
      <c r="F24" s="40" t="s">
        <v>49</v>
      </c>
      <c r="G24" s="40" t="s">
        <v>14</v>
      </c>
      <c r="H24" s="40" t="s">
        <v>15</v>
      </c>
      <c r="I24" s="40" t="s">
        <v>16</v>
      </c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spans="1:27" ht="16.5">
      <c r="A25" s="40">
        <v>2</v>
      </c>
      <c r="B25" s="46" t="s">
        <v>17</v>
      </c>
      <c r="C25" s="40" t="s">
        <v>18</v>
      </c>
      <c r="D25" s="40" t="s">
        <v>57</v>
      </c>
      <c r="E25" s="40" t="s">
        <v>48</v>
      </c>
      <c r="F25" s="40" t="s">
        <v>49</v>
      </c>
      <c r="G25" s="40" t="s">
        <v>14</v>
      </c>
      <c r="H25" s="40" t="s">
        <v>0</v>
      </c>
      <c r="I25" s="40" t="s">
        <v>19</v>
      </c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spans="1:27" ht="16.5">
      <c r="A26" s="40">
        <v>3</v>
      </c>
      <c r="B26" s="40"/>
      <c r="C26" s="40" t="s">
        <v>16</v>
      </c>
      <c r="D26" s="40" t="s">
        <v>56</v>
      </c>
      <c r="E26" s="40" t="s">
        <v>55</v>
      </c>
      <c r="F26" s="40" t="s">
        <v>0</v>
      </c>
      <c r="G26" s="40" t="s">
        <v>20</v>
      </c>
      <c r="H26" s="40" t="s">
        <v>0</v>
      </c>
      <c r="I26" s="40" t="s">
        <v>21</v>
      </c>
      <c r="J26" s="46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spans="1:27" ht="16.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 spans="1:27" ht="16.5">
      <c r="A28" s="47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</row>
    <row r="29" spans="1:27" ht="16.5">
      <c r="A29" s="40"/>
      <c r="B29" s="40"/>
      <c r="C29" s="40" t="s">
        <v>22</v>
      </c>
      <c r="D29" s="40"/>
      <c r="E29" s="40"/>
      <c r="F29" s="40"/>
      <c r="G29" s="40"/>
      <c r="I29" s="40"/>
      <c r="J29" s="40" t="s">
        <v>23</v>
      </c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</row>
    <row r="30" spans="1:27" ht="16.5">
      <c r="A30" s="40"/>
      <c r="B30" s="40"/>
      <c r="C30" s="48" t="str">
        <f>C24</f>
        <v>If (mA)</v>
      </c>
      <c r="D30" s="48" t="str">
        <f>D24</f>
        <v>Vf (V)</v>
      </c>
      <c r="E30" s="48" t="str">
        <f t="shared" ref="E30:F30" si="0">E24</f>
        <v>Vf_min (V)</v>
      </c>
      <c r="F30" s="48" t="str">
        <f t="shared" si="0"/>
        <v>Vf_max (V)</v>
      </c>
      <c r="G30" s="48" t="str">
        <f>G24</f>
        <v>Pd (W)</v>
      </c>
      <c r="H30" s="48" t="str">
        <f>H24</f>
        <v>lm/W</v>
      </c>
      <c r="I30" s="48" t="str">
        <f>Selector!M9</f>
        <v>Tj (C)</v>
      </c>
      <c r="J30" s="49" t="str">
        <f t="shared" ref="J30:O30" si="1">C25</f>
        <v>φv (lm)</v>
      </c>
      <c r="K30" s="49" t="str">
        <f t="shared" si="1"/>
        <v>Vf (V)</v>
      </c>
      <c r="L30" s="49" t="str">
        <f t="shared" si="1"/>
        <v>Vf_min (V)</v>
      </c>
      <c r="M30" s="49" t="str">
        <f t="shared" si="1"/>
        <v>Vf_max (V)</v>
      </c>
      <c r="N30" s="49" t="str">
        <f t="shared" si="1"/>
        <v>Pd (W)</v>
      </c>
      <c r="O30" s="49" t="str">
        <f t="shared" si="1"/>
        <v>lm/W</v>
      </c>
      <c r="P30" s="49" t="str">
        <f>Selector!M9</f>
        <v>Tj (C)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 spans="1:27" ht="16.5">
      <c r="A31" s="40"/>
      <c r="B31" s="40"/>
      <c r="C31" s="48" t="str">
        <f>CONCATENATE($A24,C24)</f>
        <v>1If (mA)</v>
      </c>
      <c r="D31" s="48" t="str">
        <f>CONCATENATE($A24,D24)</f>
        <v>1Vf (V)</v>
      </c>
      <c r="E31" s="48" t="str">
        <f t="shared" ref="E31:F31" si="2">CONCATENATE($A24,E24)</f>
        <v>1Vf_min (V)</v>
      </c>
      <c r="F31" s="48" t="str">
        <f t="shared" si="2"/>
        <v>1Vf_max (V)</v>
      </c>
      <c r="G31" s="48" t="str">
        <f>CONCATENATE($A24,G24)</f>
        <v>1Pd (W)</v>
      </c>
      <c r="H31" s="48" t="str">
        <f>CONCATENATE($A24,H24)</f>
        <v>1lm/W</v>
      </c>
      <c r="I31" s="48" t="str">
        <f>CONCATENATE($A24,I30)</f>
        <v>1Tj (C)</v>
      </c>
      <c r="J31" s="49" t="str">
        <f t="shared" ref="J31:O31" si="3">CONCATENATE($A25,C25)</f>
        <v>2φv (lm)</v>
      </c>
      <c r="K31" s="49" t="str">
        <f t="shared" si="3"/>
        <v>2Vf (V)</v>
      </c>
      <c r="L31" s="49" t="str">
        <f t="shared" si="3"/>
        <v>2Vf_min (V)</v>
      </c>
      <c r="M31" s="49" t="str">
        <f t="shared" si="3"/>
        <v>2Vf_max (V)</v>
      </c>
      <c r="N31" s="49" t="str">
        <f t="shared" si="3"/>
        <v>2Pd (W)</v>
      </c>
      <c r="O31" s="49" t="str">
        <f t="shared" si="3"/>
        <v>2lm/W</v>
      </c>
      <c r="P31" s="49" t="str">
        <f>CONCATENATE($A25,P30)</f>
        <v>2Tj (C)</v>
      </c>
      <c r="Q31" s="40"/>
      <c r="R31" s="61"/>
      <c r="S31" s="61"/>
      <c r="T31" s="61"/>
      <c r="U31" s="61"/>
      <c r="V31" s="40"/>
      <c r="W31" s="40"/>
      <c r="X31" s="40"/>
      <c r="Y31" s="40"/>
      <c r="Z31" s="40"/>
      <c r="AA31" s="40"/>
    </row>
    <row r="32" spans="1:27" ht="16.5">
      <c r="A32" s="40"/>
      <c r="B32" s="40" t="str">
        <f t="shared" ref="B32:B49" si="4">B3</f>
        <v>CLU7B2</v>
      </c>
      <c r="C32" s="50">
        <f>IF(Calculation!U121,Calculation!N98,"Not Applicable")</f>
        <v>45.003033339981229</v>
      </c>
      <c r="D32" s="51">
        <f>IF(Calculation!U121,Calculation!R98,"Not Applicable")</f>
        <v>19.345090018985129</v>
      </c>
      <c r="E32" s="51">
        <f>IF(Calculation!U121,Calculation!P98,"Not Applicable")</f>
        <v>17.797482817833632</v>
      </c>
      <c r="F32" s="51">
        <f>IF(Calculation!U121,Calculation!Q98,"Not Applicable")</f>
        <v>20.892697220935133</v>
      </c>
      <c r="G32" s="51">
        <f>IF(Calculation!U121,Calculation!S98,"Not Applicable")</f>
        <v>0.87058773108932586</v>
      </c>
      <c r="H32" s="51">
        <f>IF(Calculation!U121,Calculation!U98,"Not Applicable")</f>
        <v>172.29739708405032</v>
      </c>
      <c r="I32" s="51">
        <f>IF(Calculation!W121,Calculation!X98,"Not Applicable")</f>
        <v>29.701173747882361</v>
      </c>
      <c r="J32" s="50">
        <f>IF(Calculation!U167,Calculation!N144,"Not Applicable")</f>
        <v>450.8555576534539</v>
      </c>
      <c r="K32" s="51">
        <f>IF(Calculation!U167,Calculation!R144,"Not Applicable")</f>
        <v>21.508662040532087</v>
      </c>
      <c r="L32" s="51">
        <f>IF(Calculation!U167,Calculation!P144,"Not Applicable")</f>
        <v>19.787969077289521</v>
      </c>
      <c r="M32" s="51">
        <f>IF(Calculation!U167,Calculation!Q144,"Not Applicable")</f>
        <v>23.229355003774657</v>
      </c>
      <c r="N32" s="51">
        <f>IF(Calculation!U167,Calculation!S144,"Not Applicable")</f>
        <v>3.2262993060798131</v>
      </c>
      <c r="O32" s="51">
        <f>IF(Calculation!U167,Calculation!U144,"Not Applicable")</f>
        <v>139.74387212117526</v>
      </c>
      <c r="P32" s="51">
        <f>IF(Calculation!W167,Calculation!X144,"Not Applicable")</f>
        <v>42.422016252830993</v>
      </c>
      <c r="Q32" s="40"/>
      <c r="R32" s="61"/>
      <c r="S32" s="61"/>
      <c r="T32" s="61"/>
      <c r="U32" s="61"/>
      <c r="V32" s="40"/>
      <c r="W32" s="40"/>
      <c r="X32" s="40"/>
      <c r="Y32" s="40"/>
      <c r="Z32" s="40"/>
      <c r="AA32" s="40"/>
    </row>
    <row r="33" spans="1:27" ht="16.5">
      <c r="A33" s="40"/>
      <c r="B33" s="40" t="str">
        <f t="shared" si="4"/>
        <v>CLU7A2</v>
      </c>
      <c r="C33" s="50">
        <f>IF(Calculation!U122,Calculation!N99,"Not Applicable")</f>
        <v>76.867859232988906</v>
      </c>
      <c r="D33" s="51">
        <f>IF(Calculation!U122,Calculation!R99,"Not Applicable")</f>
        <v>10.888542945350709</v>
      </c>
      <c r="E33" s="51">
        <f>IF(Calculation!U122,Calculation!P99,"Not Applicable")</f>
        <v>10.017459509722656</v>
      </c>
      <c r="F33" s="51">
        <f>IF(Calculation!U122,Calculation!Q99,"Not Applicable")</f>
        <v>11.759626380978771</v>
      </c>
      <c r="G33" s="51">
        <f>IF(Calculation!U122,Calculation!S99,"Not Applicable")</f>
        <v>0.83697898637557278</v>
      </c>
      <c r="H33" s="51">
        <f>IF(Calculation!U122,Calculation!U99,"Not Applicable")</f>
        <v>179.21596890927361</v>
      </c>
      <c r="I33" s="51">
        <f>IF(Calculation!W122,Calculation!X99,"Not Applicable")</f>
        <v>27.510936959126717</v>
      </c>
      <c r="J33" s="50">
        <f>IF(Calculation!U168,Calculation!N145,"Not Applicable")</f>
        <v>283.28270326198691</v>
      </c>
      <c r="K33" s="51">
        <f>IF(Calculation!U168,Calculation!R145,"Not Applicable")</f>
        <v>11.117566188815216</v>
      </c>
      <c r="L33" s="51">
        <f>IF(Calculation!U168,Calculation!P145,"Not Applicable")</f>
        <v>10.228160893709999</v>
      </c>
      <c r="M33" s="51">
        <f>IF(Calculation!U168,Calculation!Q145,"Not Applicable")</f>
        <v>12.006971483920434</v>
      </c>
      <c r="N33" s="51">
        <f>IF(Calculation!U168,Calculation!S145,"Not Applicable")</f>
        <v>1.6676349283222824</v>
      </c>
      <c r="O33" s="51">
        <f>IF(Calculation!U168,Calculation!U145,"Not Applicable")</f>
        <v>169.87093424996942</v>
      </c>
      <c r="P33" s="51">
        <f>IF(Calculation!W168,Calculation!X145,"Not Applicable")</f>
        <v>30.002904784966848</v>
      </c>
      <c r="Q33" s="40"/>
      <c r="R33" s="61"/>
      <c r="S33" s="61"/>
      <c r="T33" s="61"/>
      <c r="U33" s="61"/>
      <c r="V33" s="61"/>
      <c r="W33" s="205"/>
      <c r="X33" s="40"/>
      <c r="Y33" s="40"/>
      <c r="Z33" s="40"/>
      <c r="AA33" s="40"/>
    </row>
    <row r="34" spans="1:27" ht="16.5">
      <c r="A34" s="40"/>
      <c r="B34" s="40" t="str">
        <f t="shared" si="4"/>
        <v>CLU7A2</v>
      </c>
      <c r="C34" s="50">
        <f>IF(Calculation!U123,Calculation!N100,"Not Applicable")</f>
        <v>25.622619744329633</v>
      </c>
      <c r="D34" s="51">
        <f>IF(Calculation!U123,Calculation!R100,"Not Applicable")</f>
        <v>32.665628836052129</v>
      </c>
      <c r="E34" s="51">
        <f>IF(Calculation!U123,Calculation!P100,"Not Applicable")</f>
        <v>30.052378529167974</v>
      </c>
      <c r="F34" s="51">
        <f>IF(Calculation!U123,Calculation!Q100,"Not Applicable")</f>
        <v>35.278879142936319</v>
      </c>
      <c r="G34" s="51">
        <f>IF(Calculation!U123,Calculation!S100,"Not Applicable")</f>
        <v>0.83697898637557278</v>
      </c>
      <c r="H34" s="51">
        <f>IF(Calculation!U123,Calculation!U100,"Not Applicable")</f>
        <v>179.21596890927361</v>
      </c>
      <c r="I34" s="51">
        <f>IF(Calculation!W123,Calculation!X100,"Not Applicable")</f>
        <v>27.510936959126717</v>
      </c>
      <c r="J34" s="50">
        <f>IF(Calculation!U169,Calculation!N146,"Not Applicable")</f>
        <v>777.4059100898254</v>
      </c>
      <c r="K34" s="51">
        <f>IF(Calculation!U169,Calculation!R146,"Not Applicable")</f>
        <v>35.917918814098698</v>
      </c>
      <c r="L34" s="51">
        <f>IF(Calculation!U169,Calculation!P146,"Not Applicable")</f>
        <v>33.044485308970806</v>
      </c>
      <c r="M34" s="51">
        <f>IF(Calculation!U169,Calculation!Q146,"Not Applicable")</f>
        <v>38.791352319226597</v>
      </c>
      <c r="N34" s="51">
        <f>IF(Calculation!U169,Calculation!S146,"Not Applicable")</f>
        <v>5.3876878221148043</v>
      </c>
      <c r="O34" s="51">
        <f>IF(Calculation!U169,Calculation!U146,"Not Applicable")</f>
        <v>144.29305033205762</v>
      </c>
      <c r="P34" s="51">
        <f>IF(Calculation!W169,Calculation!X146,"Not Applicable")</f>
        <v>41.163063466344411</v>
      </c>
      <c r="Q34" s="40"/>
      <c r="R34" s="61"/>
      <c r="S34" s="61"/>
      <c r="T34" s="61"/>
      <c r="U34" s="61"/>
      <c r="V34" s="61"/>
      <c r="W34" s="61"/>
      <c r="X34" s="40"/>
      <c r="Y34" s="40"/>
      <c r="Z34" s="40"/>
      <c r="AA34" s="40"/>
    </row>
    <row r="35" spans="1:27" ht="16.5">
      <c r="A35" s="40"/>
      <c r="B35" s="40" t="str">
        <f t="shared" si="4"/>
        <v>CLU702</v>
      </c>
      <c r="C35" s="50">
        <f>IF(Calculation!U124,Calculation!N101,"Not Applicable")</f>
        <v>23.958890805436738</v>
      </c>
      <c r="D35" s="51">
        <f>IF(Calculation!U124,Calculation!R101,"Not Applicable")</f>
        <v>32.248516197025545</v>
      </c>
      <c r="E35" s="51">
        <f>IF(Calculation!U124,Calculation!P101,"Not Applicable")</f>
        <v>29.668634901263516</v>
      </c>
      <c r="F35" s="51">
        <f>IF(Calculation!U124,Calculation!Q101,"Not Applicable")</f>
        <v>34.828397492787609</v>
      </c>
      <c r="G35" s="51">
        <f>IF(Calculation!U124,Calculation!S101,"Not Applicable")</f>
        <v>0.77263867820189303</v>
      </c>
      <c r="H35" s="51">
        <f>IF(Calculation!U124,Calculation!U101,"Not Applicable")</f>
        <v>194.13990553654952</v>
      </c>
      <c r="I35" s="51">
        <f>IF(Calculation!W124,Calculation!X101,"Not Applicable")</f>
        <v>26.23622188512303</v>
      </c>
      <c r="J35" s="50">
        <f>IF(Calculation!U170,Calculation!N147,"Not Applicable")</f>
        <v>838.94003122820936</v>
      </c>
      <c r="K35" s="51">
        <f>IF(Calculation!U170,Calculation!R147,"Not Applicable")</f>
        <v>34.008957906545788</v>
      </c>
      <c r="L35" s="51">
        <f>IF(Calculation!U170,Calculation!P147,"Not Applicable")</f>
        <v>31.288241274022127</v>
      </c>
      <c r="M35" s="51">
        <f>IF(Calculation!U170,Calculation!Q147,"Not Applicable")</f>
        <v>36.729674539069457</v>
      </c>
      <c r="N35" s="51">
        <f>IF(Calculation!U170,Calculation!S147,"Not Applicable")</f>
        <v>5.1013436859818686</v>
      </c>
      <c r="O35" s="51">
        <f>IF(Calculation!U170,Calculation!U147,"Not Applicable")</f>
        <v>164.45471680991758</v>
      </c>
      <c r="P35" s="51">
        <f>IF(Calculation!W170,Calculation!X147,"Not Applicable")</f>
        <v>33.162149897570991</v>
      </c>
      <c r="Q35" s="40"/>
      <c r="R35" s="61"/>
      <c r="S35" s="61"/>
      <c r="T35" s="61"/>
      <c r="U35" s="61"/>
      <c r="V35" s="61"/>
      <c r="W35" s="61"/>
      <c r="X35" s="40"/>
      <c r="Y35" s="40"/>
      <c r="Z35" s="40"/>
      <c r="AA35" s="40"/>
    </row>
    <row r="36" spans="1:27" ht="16.5">
      <c r="A36" s="40"/>
      <c r="B36" s="40" t="str">
        <f t="shared" si="4"/>
        <v>CLU712</v>
      </c>
      <c r="C36" s="50">
        <f>IF(Calculation!U125,Calculation!N102,"Not Applicable")</f>
        <v>21.240751600836429</v>
      </c>
      <c r="D36" s="51">
        <f>IF(Calculation!U125,Calculation!R102,"Not Applicable")</f>
        <v>32.004178086766558</v>
      </c>
      <c r="E36" s="51">
        <f>IF(Calculation!U125,Calculation!P102,"Not Applicable")</f>
        <v>29.443843839825249</v>
      </c>
      <c r="F36" s="51">
        <f>IF(Calculation!U125,Calculation!Q102,"Not Applicable")</f>
        <v>34.564512333707903</v>
      </c>
      <c r="G36" s="51">
        <f>IF(Calculation!U125,Calculation!S102,"Not Applicable")</f>
        <v>0.67979279692994088</v>
      </c>
      <c r="H36" s="51">
        <f>IF(Calculation!U125,Calculation!U102,"Not Applicable")</f>
        <v>220.65547131041302</v>
      </c>
      <c r="I36" s="51">
        <f>IF(Calculation!W125,Calculation!X102,"Not Applicable")</f>
        <v>25.618611445206245</v>
      </c>
      <c r="J36" s="50">
        <f>IF(Calculation!U171,Calculation!N148,"Not Applicable")</f>
        <v>876.47948153503103</v>
      </c>
      <c r="K36" s="51">
        <f>IF(Calculation!U171,Calculation!R148,"Not Applicable")</f>
        <v>32.930905018697523</v>
      </c>
      <c r="L36" s="51">
        <f>IF(Calculation!U171,Calculation!P148,"Not Applicable")</f>
        <v>30.296432617201724</v>
      </c>
      <c r="M36" s="51">
        <f>IF(Calculation!U171,Calculation!Q148,"Not Applicable")</f>
        <v>35.565377420193329</v>
      </c>
      <c r="N36" s="51">
        <f>IF(Calculation!U171,Calculation!S148,"Not Applicable")</f>
        <v>4.9396357528046284</v>
      </c>
      <c r="O36" s="51">
        <f>IF(Calculation!U171,Calculation!U148,"Not Applicable")</f>
        <v>177.43807952588065</v>
      </c>
      <c r="P36" s="51">
        <f>IF(Calculation!W171,Calculation!X148,"Not Applicable")</f>
        <v>29.495068535052212</v>
      </c>
      <c r="Q36" s="40"/>
      <c r="R36" s="61"/>
      <c r="S36" s="61"/>
      <c r="T36" s="61"/>
      <c r="U36" s="61"/>
      <c r="V36" s="61"/>
      <c r="W36" s="61"/>
      <c r="X36" s="40"/>
      <c r="Y36" s="40"/>
      <c r="Z36" s="40"/>
      <c r="AA36" s="40"/>
    </row>
    <row r="37" spans="1:27" ht="16.5">
      <c r="A37" s="40"/>
      <c r="B37" s="40">
        <f t="shared" si="4"/>
        <v>0</v>
      </c>
      <c r="C37" s="50" t="str">
        <f>IF(Calculation!U126,Calculation!N103,"Not Applicable")</f>
        <v>Not Applicable</v>
      </c>
      <c r="D37" s="51" t="str">
        <f>IF(Calculation!U126,Calculation!R103,"Not Applicable")</f>
        <v>Not Applicable</v>
      </c>
      <c r="E37" s="51" t="str">
        <f>IF(Calculation!U126,Calculation!P103,"Not Applicable")</f>
        <v>Not Applicable</v>
      </c>
      <c r="F37" s="51" t="str">
        <f>IF(Calculation!U126,Calculation!Q103,"Not Applicable")</f>
        <v>Not Applicable</v>
      </c>
      <c r="G37" s="51" t="str">
        <f>IF(Calculation!U126,Calculation!S103,"Not Applicable")</f>
        <v>Not Applicable</v>
      </c>
      <c r="H37" s="51" t="str">
        <f>IF(Calculation!U126,Calculation!U103,"Not Applicable")</f>
        <v>Not Applicable</v>
      </c>
      <c r="I37" s="51" t="str">
        <f>IF(Calculation!W126,Calculation!X103,"Not Applicable")</f>
        <v>Not Applicable</v>
      </c>
      <c r="J37" s="50" t="e">
        <f>IF(Calculation!U172,Calculation!N149,"Not Applicable")</f>
        <v>#VALUE!</v>
      </c>
      <c r="K37" s="51" t="e">
        <f>IF(Calculation!U172,Calculation!R149,"Not Applicable")</f>
        <v>#VALUE!</v>
      </c>
      <c r="L37" s="51" t="e">
        <f>IF(Calculation!U172,Calculation!P149,"Not Applicable")</f>
        <v>#VALUE!</v>
      </c>
      <c r="M37" s="51" t="e">
        <f>IF(Calculation!U172,Calculation!Q149,"Not Applicable")</f>
        <v>#VALUE!</v>
      </c>
      <c r="N37" s="51" t="e">
        <f>IF(Calculation!U172,Calculation!S149,"Not Applicable")</f>
        <v>#VALUE!</v>
      </c>
      <c r="O37" s="51" t="e">
        <f>IF(Calculation!U172,Calculation!U149,"Not Applicable")</f>
        <v>#VALUE!</v>
      </c>
      <c r="P37" s="51" t="e">
        <f>IF(Calculation!W172,Calculation!X149,"Not Applicable")</f>
        <v>#VALUE!</v>
      </c>
      <c r="Q37" s="40"/>
      <c r="R37" s="61"/>
      <c r="S37" s="61"/>
      <c r="T37" s="61"/>
      <c r="U37" s="61"/>
      <c r="V37" s="40"/>
      <c r="W37" s="40"/>
      <c r="X37" s="40"/>
      <c r="Y37" s="40"/>
      <c r="Z37" s="40"/>
      <c r="AA37" s="40"/>
    </row>
    <row r="38" spans="1:27" ht="16.5">
      <c r="A38" s="40"/>
      <c r="B38" s="40">
        <f t="shared" si="4"/>
        <v>0</v>
      </c>
      <c r="C38" s="50" t="str">
        <f>IF(Calculation!U127,Calculation!N104,"Not Applicable")</f>
        <v>Not Applicable</v>
      </c>
      <c r="D38" s="51" t="str">
        <f>IF(Calculation!U127,Calculation!R104,"Not Applicable")</f>
        <v>Not Applicable</v>
      </c>
      <c r="E38" s="51" t="str">
        <f>IF(Calculation!U127,Calculation!P104,"Not Applicable")</f>
        <v>Not Applicable</v>
      </c>
      <c r="F38" s="51" t="str">
        <f>IF(Calculation!U127,Calculation!Q104,"Not Applicable")</f>
        <v>Not Applicable</v>
      </c>
      <c r="G38" s="51" t="str">
        <f>IF(Calculation!U127,Calculation!S104,"Not Applicable")</f>
        <v>Not Applicable</v>
      </c>
      <c r="H38" s="51" t="str">
        <f>IF(Calculation!U127,Calculation!U104,"Not Applicable")</f>
        <v>Not Applicable</v>
      </c>
      <c r="I38" s="51" t="str">
        <f>IF(Calculation!W127,Calculation!X104,"Not Applicable")</f>
        <v>Not Applicable</v>
      </c>
      <c r="J38" s="50" t="e">
        <f>IF(Calculation!U173,Calculation!N150,"Not Applicable")</f>
        <v>#VALUE!</v>
      </c>
      <c r="K38" s="51" t="e">
        <f>IF(Calculation!U173,Calculation!R150,"Not Applicable")</f>
        <v>#VALUE!</v>
      </c>
      <c r="L38" s="51" t="e">
        <f>IF(Calculation!U173,Calculation!P150,"Not Applicable")</f>
        <v>#VALUE!</v>
      </c>
      <c r="M38" s="51" t="e">
        <f>IF(Calculation!U173,Calculation!Q150,"Not Applicable")</f>
        <v>#VALUE!</v>
      </c>
      <c r="N38" s="51" t="e">
        <f>IF(Calculation!U173,Calculation!S150,"Not Applicable")</f>
        <v>#VALUE!</v>
      </c>
      <c r="O38" s="51" t="e">
        <f>IF(Calculation!U173,Calculation!U150,"Not Applicable")</f>
        <v>#VALUE!</v>
      </c>
      <c r="P38" s="51" t="e">
        <f>IF(Calculation!W173,Calculation!X150,"Not Applicable")</f>
        <v>#VALUE!</v>
      </c>
      <c r="Q38" s="40"/>
      <c r="R38" s="61"/>
      <c r="S38" s="205"/>
      <c r="T38" s="61"/>
      <c r="U38" s="61"/>
      <c r="V38" s="40"/>
      <c r="W38" s="40"/>
      <c r="X38" s="40"/>
      <c r="Y38" s="40"/>
      <c r="Z38" s="40"/>
      <c r="AA38" s="40"/>
    </row>
    <row r="39" spans="1:27" ht="16.5">
      <c r="A39" s="40"/>
      <c r="B39" s="40">
        <f t="shared" si="4"/>
        <v>0</v>
      </c>
      <c r="C39" s="50" t="str">
        <f>IF(Calculation!U128,Calculation!N105,"Not Applicable")</f>
        <v>Not Applicable</v>
      </c>
      <c r="D39" s="51" t="str">
        <f>IF(Calculation!U128,Calculation!R105,"Not Applicable")</f>
        <v>Not Applicable</v>
      </c>
      <c r="E39" s="51" t="str">
        <f>IF(Calculation!U128,Calculation!P105,"Not Applicable")</f>
        <v>Not Applicable</v>
      </c>
      <c r="F39" s="51" t="str">
        <f>IF(Calculation!U128,Calculation!Q105,"Not Applicable")</f>
        <v>Not Applicable</v>
      </c>
      <c r="G39" s="51" t="str">
        <f>IF(Calculation!U128,Calculation!S105,"Not Applicable")</f>
        <v>Not Applicable</v>
      </c>
      <c r="H39" s="51" t="str">
        <f>IF(Calculation!U128,Calculation!U105,"Not Applicable")</f>
        <v>Not Applicable</v>
      </c>
      <c r="I39" s="51" t="str">
        <f>IF(Calculation!W128,Calculation!X105,"Not Applicable")</f>
        <v>Not Applicable</v>
      </c>
      <c r="J39" s="50" t="e">
        <f>IF(Calculation!U174,Calculation!N151,"Not Applicable")</f>
        <v>#VALUE!</v>
      </c>
      <c r="K39" s="51" t="e">
        <f>IF(Calculation!U174,Calculation!R151,"Not Applicable")</f>
        <v>#VALUE!</v>
      </c>
      <c r="L39" s="51" t="e">
        <f>IF(Calculation!U174,Calculation!P151,"Not Applicable")</f>
        <v>#VALUE!</v>
      </c>
      <c r="M39" s="51" t="e">
        <f>IF(Calculation!U174,Calculation!Q151,"Not Applicable")</f>
        <v>#VALUE!</v>
      </c>
      <c r="N39" s="51" t="e">
        <f>IF(Calculation!U174,Calculation!S151,"Not Applicable")</f>
        <v>#VALUE!</v>
      </c>
      <c r="O39" s="51" t="e">
        <f>IF(Calculation!U174,Calculation!U151,"Not Applicable")</f>
        <v>#VALUE!</v>
      </c>
      <c r="P39" s="51" t="e">
        <f>IF(Calculation!W174,Calculation!X151,"Not Applicable")</f>
        <v>#VALUE!</v>
      </c>
      <c r="Q39" s="40"/>
      <c r="R39" s="61"/>
      <c r="S39" s="205"/>
      <c r="T39" s="61"/>
      <c r="U39" s="61"/>
      <c r="V39" s="40"/>
      <c r="W39" s="40"/>
      <c r="X39" s="40"/>
      <c r="Y39" s="40"/>
      <c r="Z39" s="40"/>
      <c r="AA39" s="40"/>
    </row>
    <row r="40" spans="1:27" ht="16.5">
      <c r="A40" s="40"/>
      <c r="B40" s="40">
        <f t="shared" si="4"/>
        <v>0</v>
      </c>
      <c r="C40" s="50" t="str">
        <f>IF(Calculation!U129,Calculation!N106,"Not Applicable")</f>
        <v>Not Applicable</v>
      </c>
      <c r="D40" s="51" t="str">
        <f>IF(Calculation!U129,Calculation!R106,"Not Applicable")</f>
        <v>Not Applicable</v>
      </c>
      <c r="E40" s="51" t="str">
        <f>IF(Calculation!U129,Calculation!P106,"Not Applicable")</f>
        <v>Not Applicable</v>
      </c>
      <c r="F40" s="51" t="str">
        <f>IF(Calculation!U129,Calculation!Q106,"Not Applicable")</f>
        <v>Not Applicable</v>
      </c>
      <c r="G40" s="51" t="str">
        <f>IF(Calculation!U129,Calculation!S106,"Not Applicable")</f>
        <v>Not Applicable</v>
      </c>
      <c r="H40" s="51" t="str">
        <f>IF(Calculation!U129,Calculation!U106,"Not Applicable")</f>
        <v>Not Applicable</v>
      </c>
      <c r="I40" s="51" t="str">
        <f>IF(Calculation!W129,Calculation!X106,"Not Applicable")</f>
        <v>Not Applicable</v>
      </c>
      <c r="J40" s="50" t="e">
        <f>IF(Calculation!U175,Calculation!N152,"Not Applicable")</f>
        <v>#VALUE!</v>
      </c>
      <c r="K40" s="51" t="e">
        <f>IF(Calculation!U175,Calculation!R152,"Not Applicable")</f>
        <v>#VALUE!</v>
      </c>
      <c r="L40" s="51" t="e">
        <f>IF(Calculation!U175,Calculation!P152,"Not Applicable")</f>
        <v>#VALUE!</v>
      </c>
      <c r="M40" s="51" t="e">
        <f>IF(Calculation!U175,Calculation!Q152,"Not Applicable")</f>
        <v>#VALUE!</v>
      </c>
      <c r="N40" s="51" t="e">
        <f>IF(Calculation!U175,Calculation!S152,"Not Applicable")</f>
        <v>#VALUE!</v>
      </c>
      <c r="O40" s="51" t="e">
        <f>IF(Calculation!U175,Calculation!U152,"Not Applicable")</f>
        <v>#VALUE!</v>
      </c>
      <c r="P40" s="51" t="e">
        <f>IF(Calculation!W175,Calculation!X152,"Not Applicable")</f>
        <v>#VALUE!</v>
      </c>
      <c r="Q40" s="40"/>
      <c r="U40" s="40"/>
      <c r="V40" s="40"/>
      <c r="W40" s="40"/>
      <c r="X40" s="40"/>
      <c r="Y40" s="40"/>
      <c r="Z40" s="40"/>
      <c r="AA40" s="40"/>
    </row>
    <row r="41" spans="1:27" ht="16.5">
      <c r="A41" s="40"/>
      <c r="B41" s="40">
        <f t="shared" si="4"/>
        <v>0</v>
      </c>
      <c r="C41" s="50" t="str">
        <f>IF(Calculation!U130,Calculation!N107,"Not Applicable")</f>
        <v>Not Applicable</v>
      </c>
      <c r="D41" s="51" t="str">
        <f>IF(Calculation!U130,Calculation!R107,"Not Applicable")</f>
        <v>Not Applicable</v>
      </c>
      <c r="E41" s="51" t="str">
        <f>IF(Calculation!U130,Calculation!P107,"Not Applicable")</f>
        <v>Not Applicable</v>
      </c>
      <c r="F41" s="51" t="str">
        <f>IF(Calculation!U130,Calculation!Q107,"Not Applicable")</f>
        <v>Not Applicable</v>
      </c>
      <c r="G41" s="51" t="str">
        <f>IF(Calculation!U130,Calculation!S107,"Not Applicable")</f>
        <v>Not Applicable</v>
      </c>
      <c r="H41" s="51" t="str">
        <f>IF(Calculation!U130,Calculation!U107,"Not Applicable")</f>
        <v>Not Applicable</v>
      </c>
      <c r="I41" s="51" t="str">
        <f>IF(Calculation!W130,Calculation!X107,"Not Applicable")</f>
        <v>Not Applicable</v>
      </c>
      <c r="J41" s="50" t="e">
        <f>IF(Calculation!U176,Calculation!N153,"Not Applicable")</f>
        <v>#VALUE!</v>
      </c>
      <c r="K41" s="51" t="e">
        <f>IF(Calculation!U176,Calculation!R153,"Not Applicable")</f>
        <v>#VALUE!</v>
      </c>
      <c r="L41" s="51" t="e">
        <f>IF(Calculation!U176,Calculation!P153,"Not Applicable")</f>
        <v>#VALUE!</v>
      </c>
      <c r="M41" s="51" t="e">
        <f>IF(Calculation!U176,Calculation!Q153,"Not Applicable")</f>
        <v>#VALUE!</v>
      </c>
      <c r="N41" s="51" t="e">
        <f>IF(Calculation!U176,Calculation!S153,"Not Applicable")</f>
        <v>#VALUE!</v>
      </c>
      <c r="O41" s="51" t="e">
        <f>IF(Calculation!U176,Calculation!U153,"Not Applicable")</f>
        <v>#VALUE!</v>
      </c>
      <c r="P41" s="51" t="e">
        <f>IF(Calculation!W176,Calculation!X153,"Not Applicable")</f>
        <v>#VALUE!</v>
      </c>
      <c r="Q41" s="40"/>
      <c r="R41" s="61"/>
      <c r="S41" s="61"/>
      <c r="T41" s="61"/>
      <c r="U41" s="61"/>
      <c r="V41" s="61"/>
      <c r="W41" s="61"/>
      <c r="X41" s="61"/>
      <c r="Y41" s="61"/>
      <c r="Z41" s="61"/>
      <c r="AA41" s="40"/>
    </row>
    <row r="42" spans="1:27" ht="16.5">
      <c r="A42" s="40"/>
      <c r="B42" s="40">
        <f t="shared" si="4"/>
        <v>0</v>
      </c>
      <c r="C42" s="50" t="str">
        <f>IF(Calculation!U131,Calculation!N108,"Not Applicable")</f>
        <v>Not Applicable</v>
      </c>
      <c r="D42" s="51" t="str">
        <f>IF(Calculation!U131,Calculation!R108,"Not Applicable")</f>
        <v>Not Applicable</v>
      </c>
      <c r="E42" s="51" t="str">
        <f>IF(Calculation!U131,Calculation!P108,"Not Applicable")</f>
        <v>Not Applicable</v>
      </c>
      <c r="F42" s="51" t="str">
        <f>IF(Calculation!U131,Calculation!Q108,"Not Applicable")</f>
        <v>Not Applicable</v>
      </c>
      <c r="G42" s="51" t="str">
        <f>IF(Calculation!U131,Calculation!S108,"Not Applicable")</f>
        <v>Not Applicable</v>
      </c>
      <c r="H42" s="51" t="str">
        <f>IF(Calculation!U131,Calculation!U108,"Not Applicable")</f>
        <v>Not Applicable</v>
      </c>
      <c r="I42" s="51" t="str">
        <f>IF(Calculation!W131,Calculation!X108,"Not Applicable")</f>
        <v>Not Applicable</v>
      </c>
      <c r="J42" s="50" t="e">
        <f>IF(Calculation!U177,Calculation!N154,"Not Applicable")</f>
        <v>#VALUE!</v>
      </c>
      <c r="K42" s="51" t="e">
        <f>IF(Calculation!U177,Calculation!R154,"Not Applicable")</f>
        <v>#VALUE!</v>
      </c>
      <c r="L42" s="51" t="e">
        <f>IF(Calculation!U177,Calculation!P154,"Not Applicable")</f>
        <v>#VALUE!</v>
      </c>
      <c r="M42" s="51" t="e">
        <f>IF(Calculation!U177,Calculation!Q154,"Not Applicable")</f>
        <v>#VALUE!</v>
      </c>
      <c r="N42" s="51" t="e">
        <f>IF(Calculation!U177,Calculation!S154,"Not Applicable")</f>
        <v>#VALUE!</v>
      </c>
      <c r="O42" s="51" t="e">
        <f>IF(Calculation!U177,Calculation!U154,"Not Applicable")</f>
        <v>#VALUE!</v>
      </c>
      <c r="P42" s="51" t="e">
        <f>IF(Calculation!W177,Calculation!X154,"Not Applicable")</f>
        <v>#VALUE!</v>
      </c>
      <c r="Q42" s="40"/>
      <c r="R42" s="61"/>
      <c r="S42" s="61"/>
      <c r="T42" s="61"/>
      <c r="U42" s="61"/>
      <c r="V42" s="61"/>
      <c r="W42" s="61"/>
      <c r="X42" s="61"/>
      <c r="Y42" s="205"/>
      <c r="Z42" s="205"/>
      <c r="AA42" s="40"/>
    </row>
    <row r="43" spans="1:27" ht="16.5">
      <c r="A43" s="40"/>
      <c r="B43" s="40">
        <f t="shared" si="4"/>
        <v>0</v>
      </c>
      <c r="C43" s="50" t="str">
        <f>IF(Calculation!U132,Calculation!N109,"Not Applicable")</f>
        <v>Not Applicable</v>
      </c>
      <c r="D43" s="51" t="str">
        <f>IF(Calculation!U132,Calculation!R109,"Not Applicable")</f>
        <v>Not Applicable</v>
      </c>
      <c r="E43" s="51" t="str">
        <f>IF(Calculation!U132,Calculation!P109,"Not Applicable")</f>
        <v>Not Applicable</v>
      </c>
      <c r="F43" s="51" t="str">
        <f>IF(Calculation!U132,Calculation!Q109,"Not Applicable")</f>
        <v>Not Applicable</v>
      </c>
      <c r="G43" s="51" t="str">
        <f>IF(Calculation!U132,Calculation!S109,"Not Applicable")</f>
        <v>Not Applicable</v>
      </c>
      <c r="H43" s="51" t="str">
        <f>IF(Calculation!U132,Calculation!U109,"Not Applicable")</f>
        <v>Not Applicable</v>
      </c>
      <c r="I43" s="51" t="str">
        <f>IF(Calculation!W132,Calculation!X109,"Not Applicable")</f>
        <v>Not Applicable</v>
      </c>
      <c r="J43" s="50" t="e">
        <f>IF(Calculation!U178,Calculation!N155,"Not Applicable")</f>
        <v>#VALUE!</v>
      </c>
      <c r="K43" s="51" t="e">
        <f>IF(Calculation!U178,Calculation!R155,"Not Applicable")</f>
        <v>#VALUE!</v>
      </c>
      <c r="L43" s="51" t="e">
        <f>IF(Calculation!U178,Calculation!P155,"Not Applicable")</f>
        <v>#VALUE!</v>
      </c>
      <c r="M43" s="51" t="e">
        <f>IF(Calculation!U178,Calculation!Q155,"Not Applicable")</f>
        <v>#VALUE!</v>
      </c>
      <c r="N43" s="51" t="e">
        <f>IF(Calculation!U178,Calculation!S155,"Not Applicable")</f>
        <v>#VALUE!</v>
      </c>
      <c r="O43" s="51" t="e">
        <f>IF(Calculation!U178,Calculation!U155,"Not Applicable")</f>
        <v>#VALUE!</v>
      </c>
      <c r="P43" s="51" t="e">
        <f>IF(Calculation!W178,Calculation!X155,"Not Applicable")</f>
        <v>#VALUE!</v>
      </c>
      <c r="Q43" s="40"/>
      <c r="R43" s="61"/>
      <c r="S43" s="61"/>
      <c r="T43" s="61"/>
      <c r="U43" s="61"/>
      <c r="V43" s="61"/>
      <c r="W43" s="61"/>
      <c r="X43" s="61"/>
      <c r="Y43" s="61"/>
      <c r="Z43" s="61"/>
      <c r="AA43" s="40"/>
    </row>
    <row r="44" spans="1:27" ht="16.5">
      <c r="A44" s="40"/>
      <c r="B44" s="40">
        <f t="shared" si="4"/>
        <v>0</v>
      </c>
      <c r="C44" s="50" t="str">
        <f>IF(Calculation!U133,Calculation!N110,"Not Applicable")</f>
        <v>Not Applicable</v>
      </c>
      <c r="D44" s="51" t="str">
        <f>IF(Calculation!U133,Calculation!R110,"Not Applicable")</f>
        <v>Not Applicable</v>
      </c>
      <c r="E44" s="51" t="str">
        <f>IF(Calculation!U133,Calculation!P110,"Not Applicable")</f>
        <v>Not Applicable</v>
      </c>
      <c r="F44" s="51" t="str">
        <f>IF(Calculation!U133,Calculation!Q110,"Not Applicable")</f>
        <v>Not Applicable</v>
      </c>
      <c r="G44" s="51" t="str">
        <f>IF(Calculation!U133,Calculation!S110,"Not Applicable")</f>
        <v>Not Applicable</v>
      </c>
      <c r="H44" s="51" t="str">
        <f>IF(Calculation!U133,Calculation!U110,"Not Applicable")</f>
        <v>Not Applicable</v>
      </c>
      <c r="I44" s="51" t="str">
        <f>IF(Calculation!W133,Calculation!X110,"Not Applicable")</f>
        <v>Not Applicable</v>
      </c>
      <c r="J44" s="50" t="e">
        <f>IF(Calculation!U179,Calculation!N156,"Not Applicable")</f>
        <v>#VALUE!</v>
      </c>
      <c r="K44" s="51" t="e">
        <f>IF(Calculation!U179,Calculation!R156,"Not Applicable")</f>
        <v>#VALUE!</v>
      </c>
      <c r="L44" s="51" t="e">
        <f>IF(Calculation!U179,Calculation!P156,"Not Applicable")</f>
        <v>#VALUE!</v>
      </c>
      <c r="M44" s="51" t="e">
        <f>IF(Calculation!U179,Calculation!Q156,"Not Applicable")</f>
        <v>#VALUE!</v>
      </c>
      <c r="N44" s="51" t="e">
        <f>IF(Calculation!U179,Calculation!S156,"Not Applicable")</f>
        <v>#VALUE!</v>
      </c>
      <c r="O44" s="51" t="e">
        <f>IF(Calculation!U179,Calculation!U156,"Not Applicable")</f>
        <v>#VALUE!</v>
      </c>
      <c r="P44" s="51" t="e">
        <f>IF(Calculation!W179,Calculation!X156,"Not Applicable")</f>
        <v>#VALUE!</v>
      </c>
      <c r="Q44" s="40"/>
      <c r="R44" s="61"/>
      <c r="S44" s="61"/>
      <c r="T44" s="61"/>
      <c r="U44" s="61"/>
      <c r="V44" s="61"/>
      <c r="W44" s="61"/>
      <c r="X44" s="61"/>
      <c r="Y44" s="61"/>
      <c r="Z44" s="61"/>
      <c r="AA44" s="40"/>
    </row>
    <row r="45" spans="1:27" ht="16.5">
      <c r="A45" s="40"/>
      <c r="B45" s="40">
        <f t="shared" si="4"/>
        <v>0</v>
      </c>
      <c r="C45" s="50" t="str">
        <f>IF(Calculation!U134,Calculation!N111,"Not Applicable")</f>
        <v>Not Applicable</v>
      </c>
      <c r="D45" s="51" t="str">
        <f>IF(Calculation!U134,Calculation!R111,"Not Applicable")</f>
        <v>Not Applicable</v>
      </c>
      <c r="E45" s="51" t="str">
        <f>IF(Calculation!U134,Calculation!P111,"Not Applicable")</f>
        <v>Not Applicable</v>
      </c>
      <c r="F45" s="51" t="str">
        <f>IF(Calculation!U134,Calculation!Q111,"Not Applicable")</f>
        <v>Not Applicable</v>
      </c>
      <c r="G45" s="51" t="str">
        <f>IF(Calculation!U134,Calculation!S111,"Not Applicable")</f>
        <v>Not Applicable</v>
      </c>
      <c r="H45" s="51" t="str">
        <f>IF(Calculation!U134,Calculation!U111,"Not Applicable")</f>
        <v>Not Applicable</v>
      </c>
      <c r="I45" s="51" t="str">
        <f>IF(Calculation!W134,Calculation!X111,"Not Applicable")</f>
        <v>Not Applicable</v>
      </c>
      <c r="J45" s="50" t="e">
        <f>IF(Calculation!U180,Calculation!N157,"Not Applicable")</f>
        <v>#VALUE!</v>
      </c>
      <c r="K45" s="51" t="e">
        <f>IF(Calculation!U180,Calculation!R157,"Not Applicable")</f>
        <v>#VALUE!</v>
      </c>
      <c r="L45" s="51" t="e">
        <f>IF(Calculation!U180,Calculation!P157,"Not Applicable")</f>
        <v>#VALUE!</v>
      </c>
      <c r="M45" s="51" t="e">
        <f>IF(Calculation!U180,Calculation!Q157,"Not Applicable")</f>
        <v>#VALUE!</v>
      </c>
      <c r="N45" s="51" t="e">
        <f>IF(Calculation!U180,Calculation!S157,"Not Applicable")</f>
        <v>#VALUE!</v>
      </c>
      <c r="O45" s="51" t="e">
        <f>IF(Calculation!U180,Calculation!U157,"Not Applicable")</f>
        <v>#VALUE!</v>
      </c>
      <c r="P45" s="51" t="e">
        <f>IF(Calculation!W180,Calculation!X157,"Not Applicable")</f>
        <v>#VALUE!</v>
      </c>
      <c r="Q45" s="40"/>
      <c r="U45" s="40"/>
      <c r="V45" s="40"/>
      <c r="W45" s="40"/>
      <c r="X45" s="40"/>
      <c r="Y45" s="40"/>
      <c r="Z45" s="40"/>
      <c r="AA45" s="40"/>
    </row>
    <row r="46" spans="1:27" ht="16.5">
      <c r="A46" s="40"/>
      <c r="B46" s="40">
        <f t="shared" si="4"/>
        <v>0</v>
      </c>
      <c r="C46" s="50" t="str">
        <f>IF(Calculation!U135,Calculation!N112,"Not Applicable")</f>
        <v>Not Applicable</v>
      </c>
      <c r="D46" s="51" t="str">
        <f>IF(Calculation!U135,Calculation!R112,"Not Applicable")</f>
        <v>Not Applicable</v>
      </c>
      <c r="E46" s="51" t="str">
        <f>IF(Calculation!U135,Calculation!P112,"Not Applicable")</f>
        <v>Not Applicable</v>
      </c>
      <c r="F46" s="51" t="str">
        <f>IF(Calculation!U135,Calculation!Q112,"Not Applicable")</f>
        <v>Not Applicable</v>
      </c>
      <c r="G46" s="51" t="str">
        <f>IF(Calculation!U135,Calculation!S112,"Not Applicable")</f>
        <v>Not Applicable</v>
      </c>
      <c r="H46" s="51" t="str">
        <f>IF(Calculation!U135,Calculation!U112,"Not Applicable")</f>
        <v>Not Applicable</v>
      </c>
      <c r="I46" s="51" t="str">
        <f>IF(Calculation!W135,Calculation!X112,"Not Applicable")</f>
        <v>Not Applicable</v>
      </c>
      <c r="J46" s="50" t="e">
        <f>IF(Calculation!U181,Calculation!N158,"Not Applicable")</f>
        <v>#VALUE!</v>
      </c>
      <c r="K46" s="51" t="e">
        <f>IF(Calculation!U181,Calculation!R158,"Not Applicable")</f>
        <v>#VALUE!</v>
      </c>
      <c r="L46" s="51" t="e">
        <f>IF(Calculation!U181,Calculation!P158,"Not Applicable")</f>
        <v>#VALUE!</v>
      </c>
      <c r="M46" s="51" t="e">
        <f>IF(Calculation!U181,Calculation!Q158,"Not Applicable")</f>
        <v>#VALUE!</v>
      </c>
      <c r="N46" s="51" t="e">
        <f>IF(Calculation!U181,Calculation!S158,"Not Applicable")</f>
        <v>#VALUE!</v>
      </c>
      <c r="O46" s="51" t="e">
        <f>IF(Calculation!U181,Calculation!U158,"Not Applicable")</f>
        <v>#VALUE!</v>
      </c>
      <c r="P46" s="51" t="e">
        <f>IF(Calculation!W181,Calculation!X158,"Not Applicable")</f>
        <v>#VALUE!</v>
      </c>
      <c r="Q46" s="40"/>
      <c r="U46" s="40"/>
      <c r="V46" s="40"/>
      <c r="W46" s="40"/>
      <c r="X46" s="40"/>
      <c r="Y46" s="40"/>
      <c r="Z46" s="40"/>
      <c r="AA46" s="40"/>
    </row>
    <row r="47" spans="1:27" ht="16.5">
      <c r="A47" s="40"/>
      <c r="B47" s="40">
        <f t="shared" si="4"/>
        <v>0</v>
      </c>
      <c r="C47" s="50" t="str">
        <f>IF(Calculation!U136,Calculation!N113,"Not Applicable")</f>
        <v>Not Applicable</v>
      </c>
      <c r="D47" s="51" t="str">
        <f>IF(Calculation!U136,Calculation!R113,"Not Applicable")</f>
        <v>Not Applicable</v>
      </c>
      <c r="E47" s="51" t="str">
        <f>IF(Calculation!U136,Calculation!P113,"Not Applicable")</f>
        <v>Not Applicable</v>
      </c>
      <c r="F47" s="51" t="str">
        <f>IF(Calculation!U136,Calculation!Q113,"Not Applicable")</f>
        <v>Not Applicable</v>
      </c>
      <c r="G47" s="51" t="str">
        <f>IF(Calculation!U136,Calculation!S113,"Not Applicable")</f>
        <v>Not Applicable</v>
      </c>
      <c r="H47" s="51" t="str">
        <f>IF(Calculation!U136,Calculation!U113,"Not Applicable")</f>
        <v>Not Applicable</v>
      </c>
      <c r="I47" s="51" t="str">
        <f>IF(Calculation!W136,Calculation!X113,"Not Applicable")</f>
        <v>Not Applicable</v>
      </c>
      <c r="J47" s="50" t="e">
        <f>IF(Calculation!U182,Calculation!N159,"Not Applicable")</f>
        <v>#VALUE!</v>
      </c>
      <c r="K47" s="51" t="e">
        <f>IF(Calculation!U182,Calculation!R159,"Not Applicable")</f>
        <v>#VALUE!</v>
      </c>
      <c r="L47" s="51" t="e">
        <f>IF(Calculation!U182,Calculation!P159,"Not Applicable")</f>
        <v>#VALUE!</v>
      </c>
      <c r="M47" s="51" t="e">
        <f>IF(Calculation!U182,Calculation!Q159,"Not Applicable")</f>
        <v>#VALUE!</v>
      </c>
      <c r="N47" s="51" t="e">
        <f>IF(Calculation!U182,Calculation!S159,"Not Applicable")</f>
        <v>#VALUE!</v>
      </c>
      <c r="O47" s="51" t="e">
        <f>IF(Calculation!U182,Calculation!U159,"Not Applicable")</f>
        <v>#VALUE!</v>
      </c>
      <c r="P47" s="51" t="e">
        <f>IF(Calculation!W182,Calculation!X159,"Not Applicable")</f>
        <v>#VALUE!</v>
      </c>
      <c r="Q47" s="40"/>
      <c r="U47" s="40"/>
      <c r="V47" s="40"/>
      <c r="W47" s="40"/>
      <c r="X47" s="40"/>
      <c r="Y47" s="40"/>
      <c r="Z47" s="40"/>
      <c r="AA47" s="40"/>
    </row>
    <row r="48" spans="1:27" ht="16.5">
      <c r="A48" s="40"/>
      <c r="B48" s="40">
        <f t="shared" si="4"/>
        <v>0</v>
      </c>
      <c r="C48" s="50" t="str">
        <f>IF(Calculation!U137,Calculation!N114,"Not Applicable")</f>
        <v>Not Applicable</v>
      </c>
      <c r="D48" s="51" t="str">
        <f>IF(Calculation!U137,Calculation!R114,"Not Applicable")</f>
        <v>Not Applicable</v>
      </c>
      <c r="E48" s="51" t="str">
        <f>IF(Calculation!U137,Calculation!P114,"Not Applicable")</f>
        <v>Not Applicable</v>
      </c>
      <c r="F48" s="51" t="str">
        <f>IF(Calculation!U137,Calculation!Q114,"Not Applicable")</f>
        <v>Not Applicable</v>
      </c>
      <c r="G48" s="51" t="str">
        <f>IF(Calculation!U137,Calculation!S114,"Not Applicable")</f>
        <v>Not Applicable</v>
      </c>
      <c r="H48" s="51" t="str">
        <f>IF(Calculation!U137,Calculation!U114,"Not Applicable")</f>
        <v>Not Applicable</v>
      </c>
      <c r="I48" s="51" t="str">
        <f>IF(Calculation!W137,Calculation!X114,"Not Applicable")</f>
        <v>Not Applicable</v>
      </c>
      <c r="J48" s="50" t="e">
        <f>IF(Calculation!U183,Calculation!N160,"Not Applicable")</f>
        <v>#VALUE!</v>
      </c>
      <c r="K48" s="51" t="e">
        <f>IF(Calculation!U183,Calculation!R160,"Not Applicable")</f>
        <v>#VALUE!</v>
      </c>
      <c r="L48" s="51" t="e">
        <f>IF(Calculation!U183,Calculation!P160,"Not Applicable")</f>
        <v>#VALUE!</v>
      </c>
      <c r="M48" s="51" t="e">
        <f>IF(Calculation!U183,Calculation!Q160,"Not Applicable")</f>
        <v>#VALUE!</v>
      </c>
      <c r="N48" s="51" t="e">
        <f>IF(Calculation!U183,Calculation!S160,"Not Applicable")</f>
        <v>#VALUE!</v>
      </c>
      <c r="O48" s="51" t="e">
        <f>IF(Calculation!U183,Calculation!U160,"Not Applicable")</f>
        <v>#VALUE!</v>
      </c>
      <c r="P48" s="51" t="e">
        <f>IF(Calculation!W183,Calculation!X160,"Not Applicable")</f>
        <v>#VALUE!</v>
      </c>
      <c r="Q48" s="40"/>
      <c r="U48" s="40"/>
      <c r="V48" s="40"/>
      <c r="W48" s="40"/>
      <c r="X48" s="40"/>
      <c r="Y48" s="40"/>
      <c r="Z48" s="40"/>
      <c r="AA48" s="40"/>
    </row>
    <row r="49" spans="1:30" ht="16.5">
      <c r="A49" s="40"/>
      <c r="B49" s="40">
        <f t="shared" si="4"/>
        <v>0</v>
      </c>
      <c r="C49" s="50" t="str">
        <f>IF(Calculation!U138,Calculation!N115,"Not Applicable")</f>
        <v>Not Applicable</v>
      </c>
      <c r="D49" s="51" t="str">
        <f>IF(Calculation!U138,Calculation!R115,"Not Applicable")</f>
        <v>Not Applicable</v>
      </c>
      <c r="E49" s="51" t="str">
        <f>IF(Calculation!U138,Calculation!P115,"Not Applicable")</f>
        <v>Not Applicable</v>
      </c>
      <c r="F49" s="51" t="str">
        <f>IF(Calculation!U138,Calculation!Q115,"Not Applicable")</f>
        <v>Not Applicable</v>
      </c>
      <c r="G49" s="51" t="str">
        <f>IF(Calculation!U138,Calculation!S115,"Not Applicable")</f>
        <v>Not Applicable</v>
      </c>
      <c r="H49" s="51" t="str">
        <f>IF(Calculation!U138,Calculation!U115,"Not Applicable")</f>
        <v>Not Applicable</v>
      </c>
      <c r="I49" s="51" t="str">
        <f>IF(Calculation!W138,Calculation!X115,"Not Applicable")</f>
        <v>Not Applicable</v>
      </c>
      <c r="J49" s="50" t="e">
        <f>IF(Calculation!U184,Calculation!N161,"Not Applicable")</f>
        <v>#VALUE!</v>
      </c>
      <c r="K49" s="51" t="e">
        <f>IF(Calculation!U184,Calculation!R161,"Not Applicable")</f>
        <v>#VALUE!</v>
      </c>
      <c r="L49" s="51" t="e">
        <f>IF(Calculation!U184,Calculation!P161,"Not Applicable")</f>
        <v>#VALUE!</v>
      </c>
      <c r="M49" s="51" t="e">
        <f>IF(Calculation!U184,Calculation!Q161,"Not Applicable")</f>
        <v>#VALUE!</v>
      </c>
      <c r="N49" s="51" t="e">
        <f>IF(Calculation!U184,Calculation!S161,"Not Applicable")</f>
        <v>#VALUE!</v>
      </c>
      <c r="O49" s="51" t="e">
        <f>IF(Calculation!U184,Calculation!U161,"Not Applicable")</f>
        <v>#VALUE!</v>
      </c>
      <c r="P49" s="51" t="e">
        <f>IF(Calculation!W184,Calculation!X161,"Not Applicable")</f>
        <v>#VALUE!</v>
      </c>
      <c r="Q49" s="40"/>
      <c r="R49" s="40"/>
      <c r="S49" s="40"/>
      <c r="T49" s="40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</row>
    <row r="50" spans="1:30" ht="16.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87"/>
      <c r="M50" s="87"/>
      <c r="N50" s="87"/>
      <c r="O50" s="87"/>
      <c r="P50" s="87"/>
      <c r="Q50" s="87"/>
      <c r="R50" s="87"/>
      <c r="S50" s="172"/>
      <c r="T50" s="172"/>
      <c r="U50" s="87"/>
      <c r="V50" s="178"/>
      <c r="W50" s="178"/>
      <c r="X50" s="178"/>
      <c r="Y50" s="172"/>
      <c r="Z50" s="178"/>
      <c r="AA50" s="178"/>
      <c r="AB50" s="172"/>
      <c r="AC50" s="178"/>
      <c r="AD50" s="178"/>
    </row>
    <row r="51" spans="1:30" ht="19.5">
      <c r="A51" s="40"/>
      <c r="B51" s="228" t="s">
        <v>173</v>
      </c>
      <c r="C51" s="46"/>
      <c r="D51" s="46"/>
      <c r="E51" s="40"/>
      <c r="F51" s="40"/>
      <c r="G51" s="40"/>
      <c r="H51" s="40"/>
      <c r="I51" s="40"/>
      <c r="J51" s="40"/>
      <c r="L51" s="227" t="s">
        <v>178</v>
      </c>
      <c r="M51" s="204"/>
      <c r="N51" s="204"/>
      <c r="O51" s="204"/>
      <c r="P51" s="204"/>
      <c r="Q51" s="204"/>
      <c r="R51" s="204"/>
      <c r="S51" s="204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</row>
    <row r="52" spans="1:30" ht="16.5">
      <c r="A52" s="40"/>
      <c r="B52" s="73" t="s">
        <v>24</v>
      </c>
      <c r="C52" s="73" t="s">
        <v>25</v>
      </c>
      <c r="D52" s="73" t="s">
        <v>26</v>
      </c>
      <c r="E52" s="73"/>
      <c r="F52" s="40"/>
      <c r="G52" s="40"/>
      <c r="H52" s="40"/>
      <c r="I52" s="40"/>
      <c r="K52" s="71" t="s">
        <v>109</v>
      </c>
      <c r="L52" s="689">
        <v>1</v>
      </c>
      <c r="M52" s="689">
        <v>2</v>
      </c>
      <c r="N52" s="689">
        <v>3</v>
      </c>
      <c r="O52" s="689">
        <v>4</v>
      </c>
      <c r="P52" s="52">
        <v>5</v>
      </c>
      <c r="Q52" s="52">
        <v>6</v>
      </c>
      <c r="R52" s="52">
        <v>7</v>
      </c>
      <c r="S52" s="52">
        <v>8</v>
      </c>
      <c r="T52" s="690">
        <v>9</v>
      </c>
      <c r="U52" s="690">
        <v>10</v>
      </c>
      <c r="V52" s="690">
        <v>11</v>
      </c>
      <c r="W52" s="690">
        <v>12</v>
      </c>
      <c r="X52" s="765">
        <v>13</v>
      </c>
      <c r="Y52" s="765">
        <v>14</v>
      </c>
      <c r="Z52" s="765">
        <v>15</v>
      </c>
      <c r="AA52" s="766">
        <v>16</v>
      </c>
      <c r="AB52" s="766">
        <v>17</v>
      </c>
      <c r="AC52" s="766">
        <v>18</v>
      </c>
      <c r="AD52" s="766">
        <v>19</v>
      </c>
    </row>
    <row r="53" spans="1:30" ht="16.5">
      <c r="A53" s="40"/>
      <c r="B53" s="73"/>
      <c r="C53" s="210">
        <v>5</v>
      </c>
      <c r="D53" s="210">
        <v>300</v>
      </c>
      <c r="E53" s="73"/>
      <c r="F53" s="40"/>
      <c r="G53" s="40"/>
      <c r="H53" s="40"/>
      <c r="I53" s="40"/>
      <c r="J53" s="34" t="s">
        <v>71</v>
      </c>
      <c r="K53" s="34"/>
      <c r="L53" s="689" t="str">
        <f t="shared" ref="L53:AD53" si="5">VLOOKUP(L52,$G$3:$I$21,2,FALSE)</f>
        <v>4000K,80Min</v>
      </c>
      <c r="M53" s="689" t="str">
        <f t="shared" si="5"/>
        <v>3500K,80Min</v>
      </c>
      <c r="N53" s="689" t="str">
        <f t="shared" si="5"/>
        <v>3000K,80Min</v>
      </c>
      <c r="O53" s="689" t="str">
        <f t="shared" si="5"/>
        <v>2700K,80Min</v>
      </c>
      <c r="P53" s="52" t="str">
        <f t="shared" si="5"/>
        <v>4000K,90Min On BBL</v>
      </c>
      <c r="Q53" s="52" t="str">
        <f t="shared" si="5"/>
        <v>3500K,90Min On BBL</v>
      </c>
      <c r="R53" s="52" t="str">
        <f t="shared" si="5"/>
        <v>3000K,90Min On BBL</v>
      </c>
      <c r="S53" s="52" t="str">
        <f t="shared" si="5"/>
        <v>2700K,90Min On BBL</v>
      </c>
      <c r="T53" s="690" t="str">
        <f t="shared" si="5"/>
        <v>4000K,97Typ</v>
      </c>
      <c r="U53" s="690" t="str">
        <f t="shared" si="5"/>
        <v>3500K,97Typ</v>
      </c>
      <c r="V53" s="690" t="str">
        <f t="shared" si="5"/>
        <v>3000K,97Typ</v>
      </c>
      <c r="W53" s="690" t="str">
        <f t="shared" si="5"/>
        <v>2700K,97Typ</v>
      </c>
      <c r="X53" s="765" t="e">
        <f>VLOOKUP(X52,$G$3:$I$21,2,FALSE)</f>
        <v>#N/A</v>
      </c>
      <c r="Y53" s="765" t="e">
        <f t="shared" si="5"/>
        <v>#N/A</v>
      </c>
      <c r="Z53" s="765" t="e">
        <f t="shared" si="5"/>
        <v>#N/A</v>
      </c>
      <c r="AA53" s="765" t="e">
        <f t="shared" si="5"/>
        <v>#N/A</v>
      </c>
      <c r="AB53" s="766" t="e">
        <f t="shared" si="5"/>
        <v>#N/A</v>
      </c>
      <c r="AC53" s="766" t="e">
        <f t="shared" si="5"/>
        <v>#N/A</v>
      </c>
      <c r="AD53" s="766" t="e">
        <f t="shared" si="5"/>
        <v>#N/A</v>
      </c>
    </row>
    <row r="54" spans="1:30" ht="16.5">
      <c r="A54" s="40"/>
      <c r="B54" s="73" t="s">
        <v>46</v>
      </c>
      <c r="C54" s="73" t="s">
        <v>26</v>
      </c>
      <c r="D54" s="73" t="s">
        <v>25</v>
      </c>
      <c r="E54" s="40"/>
      <c r="F54" s="40"/>
      <c r="G54" s="76"/>
      <c r="H54" s="40"/>
      <c r="I54" s="77"/>
      <c r="J54" s="35" t="str">
        <f>IF(B3="","",B3)</f>
        <v>CLU7B2</v>
      </c>
      <c r="K54" s="36">
        <f>Tcスペック算出!K11</f>
        <v>0.92688457462043017</v>
      </c>
      <c r="L54" s="55">
        <f>'初期全光束(Tj=85℃)_0306更新'!F41</f>
        <v>477</v>
      </c>
      <c r="M54" s="55">
        <f>'初期全光束(Tj=85℃)_0306更新'!F50</f>
        <v>470</v>
      </c>
      <c r="N54" s="55">
        <f>'初期全光束(Tj=85℃)_0306更新'!F42</f>
        <v>451</v>
      </c>
      <c r="O54" s="55">
        <f>'初期全光束(Tj=85℃)_0306更新'!F43</f>
        <v>431</v>
      </c>
      <c r="P54" s="55">
        <f>'初期全光束(Tj=85℃)_0306更新'!F44</f>
        <v>416</v>
      </c>
      <c r="Q54" s="55">
        <f>'初期全光束(Tj=85℃)_0306更新'!F51</f>
        <v>407</v>
      </c>
      <c r="R54" s="55">
        <f>'初期全光束(Tj=85℃)_0306更新'!F45</f>
        <v>389</v>
      </c>
      <c r="S54" s="55">
        <f>'初期全光束(Tj=85℃)_0306更新'!F46</f>
        <v>368</v>
      </c>
      <c r="T54" s="55">
        <f>'初期全光束(Tj=85℃)_0306更新'!F47</f>
        <v>378</v>
      </c>
      <c r="U54" s="55">
        <f>'初期全光束(Tj=85℃)_0306更新'!F52</f>
        <v>372</v>
      </c>
      <c r="V54" s="763">
        <f>'初期全光束(Tj=85℃)_0306更新'!F48</f>
        <v>343</v>
      </c>
      <c r="W54" s="763">
        <f>'初期全光束(Tj=85℃)_0306更新'!F49</f>
        <v>326</v>
      </c>
      <c r="X54" s="767"/>
      <c r="Y54" s="768"/>
      <c r="Z54" s="54"/>
      <c r="AA54" s="186"/>
      <c r="AB54" s="186"/>
      <c r="AC54" s="54"/>
      <c r="AD54" s="54"/>
    </row>
    <row r="55" spans="1:30" ht="16.5">
      <c r="A55" s="40"/>
      <c r="B55" s="73"/>
      <c r="C55" s="210">
        <v>105</v>
      </c>
      <c r="D55" s="210">
        <v>-40</v>
      </c>
      <c r="E55" s="40"/>
      <c r="F55" s="40"/>
      <c r="G55" s="76"/>
      <c r="H55" s="40"/>
      <c r="I55" s="77"/>
      <c r="J55" s="35" t="str">
        <f t="shared" ref="J55:J59" si="6">IF(B4="","",B4)</f>
        <v>CLU7A2</v>
      </c>
      <c r="K55" s="36">
        <f>Tcスペック算出!K16</f>
        <v>0.92139305976979968</v>
      </c>
      <c r="L55" s="55">
        <f>'初期全光束(Tj=85℃)_0306更新'!F76</f>
        <v>818</v>
      </c>
      <c r="M55" s="55">
        <f>'初期全光束(Tj=85℃)_0306更新'!F86</f>
        <v>799</v>
      </c>
      <c r="N55" s="55">
        <f>'初期全光束(Tj=85℃)_0306更新'!F77</f>
        <v>779</v>
      </c>
      <c r="O55" s="55">
        <f>'初期全光束(Tj=85℃)_0306更新'!F78</f>
        <v>745</v>
      </c>
      <c r="P55" s="55">
        <f>'初期全光束(Tj=85℃)_0306更新'!F79</f>
        <v>716</v>
      </c>
      <c r="Q55" s="55">
        <f>'初期全光束(Tj=85℃)_0306更新'!F85</f>
        <v>707</v>
      </c>
      <c r="R55" s="55">
        <f>'初期全光束(Tj=85℃)_0306更新'!F80</f>
        <v>660</v>
      </c>
      <c r="S55" s="55">
        <f>'初期全光束(Tj=85℃)_0306更新'!F81</f>
        <v>625</v>
      </c>
      <c r="T55" s="55">
        <f>'初期全光束(Tj=85℃)_0306更新'!F82</f>
        <v>660</v>
      </c>
      <c r="U55" s="763">
        <f>'初期全光束(Tj=85℃)_0306更新'!F87</f>
        <v>629</v>
      </c>
      <c r="V55" s="763">
        <f>'初期全光束(Tj=85℃)_0306更新'!F83</f>
        <v>586</v>
      </c>
      <c r="W55" s="763">
        <f>'初期全光束(Tj=85℃)_0306更新'!F84</f>
        <v>562</v>
      </c>
      <c r="X55" s="764"/>
      <c r="Y55" s="768"/>
      <c r="Z55" s="54"/>
      <c r="AA55" s="186"/>
      <c r="AB55" s="186"/>
      <c r="AC55" s="186"/>
      <c r="AD55" s="186"/>
    </row>
    <row r="56" spans="1:30" ht="16.5">
      <c r="A56" s="40"/>
      <c r="B56" s="73" t="s">
        <v>27</v>
      </c>
      <c r="C56" s="73" t="s">
        <v>26</v>
      </c>
      <c r="D56" s="73" t="s">
        <v>25</v>
      </c>
      <c r="E56" s="40"/>
      <c r="F56" s="40"/>
      <c r="G56" s="40"/>
      <c r="H56" s="40"/>
      <c r="I56" s="77"/>
      <c r="J56" s="35" t="str">
        <f t="shared" si="6"/>
        <v>CLU7A2</v>
      </c>
      <c r="K56" s="36">
        <f>Tcスペック算出!K12</f>
        <v>0.92139305976979968</v>
      </c>
      <c r="L56" s="55">
        <f>'初期全光束(Tj=85℃)_0306更新'!F58</f>
        <v>818</v>
      </c>
      <c r="M56" s="55">
        <f>'初期全光束(Tj=85℃)_0306更新'!F86</f>
        <v>799</v>
      </c>
      <c r="N56" s="55">
        <f>'初期全光束(Tj=85℃)_0306更新'!F77</f>
        <v>779</v>
      </c>
      <c r="O56" s="55">
        <f>'初期全光束(Tj=85℃)_0306更新'!F78</f>
        <v>745</v>
      </c>
      <c r="P56" s="55">
        <f>'初期全光束(Tj=85℃)_0306更新'!F79</f>
        <v>716</v>
      </c>
      <c r="Q56" s="55">
        <f>'初期全光束(Tj=85℃)_0306更新'!F85</f>
        <v>707</v>
      </c>
      <c r="R56" s="55">
        <f>'初期全光束(Tj=85℃)_0306更新'!F80</f>
        <v>660</v>
      </c>
      <c r="S56" s="55">
        <f>'初期全光束(Tj=85℃)_0306更新'!F81</f>
        <v>625</v>
      </c>
      <c r="T56" s="55">
        <f>'初期全光束(Tj=85℃)_0306更新'!F82</f>
        <v>660</v>
      </c>
      <c r="U56" s="55">
        <f>'初期全光束(Tj=85℃)_0306更新'!F87</f>
        <v>629</v>
      </c>
      <c r="V56" s="763">
        <f>'初期全光束(Tj=85℃)_0306更新'!F83</f>
        <v>586</v>
      </c>
      <c r="W56" s="763">
        <f>'初期全光束(Tj=85℃)_0306更新'!F84</f>
        <v>562</v>
      </c>
      <c r="X56" s="769"/>
      <c r="Y56" s="768"/>
      <c r="Z56" s="54"/>
      <c r="AA56" s="186"/>
      <c r="AB56" s="186"/>
      <c r="AC56" s="54"/>
      <c r="AD56" s="54"/>
    </row>
    <row r="57" spans="1:30" ht="16.5">
      <c r="A57" s="40"/>
      <c r="B57" s="73"/>
      <c r="C57" s="210">
        <v>140</v>
      </c>
      <c r="D57" s="210">
        <v>-25</v>
      </c>
      <c r="E57" s="40"/>
      <c r="F57" s="40"/>
      <c r="G57" s="40"/>
      <c r="H57" s="40"/>
      <c r="I57" s="77"/>
      <c r="J57" s="35" t="str">
        <f t="shared" si="6"/>
        <v>CLU702</v>
      </c>
      <c r="K57" s="36">
        <f>Tcスペック算出!K13</f>
        <v>0.92409344034050445</v>
      </c>
      <c r="L57" s="55">
        <f>'初期全光束(Tj=85℃)_0306更新'!S41</f>
        <v>1658</v>
      </c>
      <c r="M57" s="55">
        <f>'初期全光束(Tj=85℃)_0306更新'!S42</f>
        <v>1627</v>
      </c>
      <c r="N57" s="55">
        <f>'初期全光束(Tj=85℃)_0306更新'!S43</f>
        <v>1576</v>
      </c>
      <c r="O57" s="55">
        <f>'初期全光束(Tj=85℃)_0306更新'!S44</f>
        <v>1502</v>
      </c>
      <c r="P57" s="55">
        <f>'初期全光束(Tj=85℃)_0306更新'!S45</f>
        <v>1424</v>
      </c>
      <c r="Q57" s="55">
        <f>'初期全光束(Tj=85℃)_0306更新'!S46</f>
        <v>1420</v>
      </c>
      <c r="R57" s="55">
        <f>'初期全光束(Tj=85℃)_0306更新'!S47</f>
        <v>1342</v>
      </c>
      <c r="S57" s="55">
        <f>'初期全光束(Tj=85℃)_0306更新'!S48</f>
        <v>1246</v>
      </c>
      <c r="T57" s="55">
        <f>'初期全光束(Tj=85℃)_0306更新'!S49</f>
        <v>1363</v>
      </c>
      <c r="U57" s="763">
        <f>'初期全光束(Tj=85℃)_0306更新'!S52</f>
        <v>1274</v>
      </c>
      <c r="V57" s="763">
        <f>'初期全光束(Tj=85℃)_0306更新'!S50</f>
        <v>1187</v>
      </c>
      <c r="W57" s="763">
        <f>'初期全光束(Tj=85℃)_0306更新'!S51</f>
        <v>1130</v>
      </c>
      <c r="X57" s="769"/>
      <c r="Y57" s="768"/>
      <c r="Z57" s="54"/>
      <c r="AA57" s="186"/>
      <c r="AB57" s="186"/>
      <c r="AC57" s="200"/>
      <c r="AD57" s="200"/>
    </row>
    <row r="58" spans="1:30" ht="16.5">
      <c r="A58" s="40"/>
      <c r="E58" s="40"/>
      <c r="F58" s="40"/>
      <c r="G58" s="40"/>
      <c r="H58" s="40"/>
      <c r="I58" s="77"/>
      <c r="J58" s="35" t="str">
        <f t="shared" si="6"/>
        <v>CLU712</v>
      </c>
      <c r="K58" s="36">
        <f>Tcスペック算出!K14</f>
        <v>0.92996207465796821</v>
      </c>
      <c r="L58" s="55">
        <f>'初期全光束(Tj=85℃)_0306更新'!S59</f>
        <v>3363</v>
      </c>
      <c r="M58" s="55">
        <f>'初期全光束(Tj=85℃)_0306更新'!S60</f>
        <v>3325</v>
      </c>
      <c r="N58" s="55">
        <f>'初期全光束(Tj=85℃)_0306更新'!S61</f>
        <v>3196</v>
      </c>
      <c r="O58" s="55">
        <f>'初期全光束(Tj=85℃)_0306更新'!S62</f>
        <v>3094</v>
      </c>
      <c r="P58" s="55">
        <f>'初期全光束(Tj=85℃)_0306更新'!S64</f>
        <v>2920</v>
      </c>
      <c r="Q58" s="55">
        <f>'初期全光束(Tj=85℃)_0306更新'!S65</f>
        <v>2879</v>
      </c>
      <c r="R58" s="55">
        <f>'初期全光束(Tj=85℃)_0306更新'!S66</f>
        <v>2728</v>
      </c>
      <c r="S58" s="55">
        <f>'初期全光束(Tj=85℃)_0306更新'!S67</f>
        <v>2560</v>
      </c>
      <c r="T58" s="55">
        <f>'初期全光束(Tj=85℃)_0306更新'!S69</f>
        <v>2696</v>
      </c>
      <c r="U58" s="763">
        <f>'初期全光束(Tj=85℃)_0306更新'!S72</f>
        <v>2545</v>
      </c>
      <c r="V58" s="763">
        <f>'初期全光束(Tj=85℃)_0306更新'!S70</f>
        <v>2446</v>
      </c>
      <c r="W58" s="763">
        <f>'初期全光束(Tj=85℃)_0306更新'!S71</f>
        <v>2319</v>
      </c>
      <c r="X58" s="199"/>
      <c r="Y58" s="199"/>
      <c r="Z58" s="186"/>
      <c r="AA58" s="186"/>
      <c r="AB58" s="186"/>
      <c r="AC58" s="200"/>
      <c r="AD58" s="200"/>
    </row>
    <row r="59" spans="1:30" ht="16.5">
      <c r="A59" s="40"/>
      <c r="E59" s="40"/>
      <c r="F59" s="40"/>
      <c r="G59" s="40"/>
      <c r="H59" s="40"/>
      <c r="I59" s="77"/>
      <c r="J59" s="35" t="str">
        <f t="shared" si="6"/>
        <v/>
      </c>
      <c r="K59" s="36"/>
      <c r="L59" s="186"/>
      <c r="M59" s="186"/>
      <c r="N59" s="186"/>
      <c r="O59" s="186"/>
      <c r="P59" s="186"/>
      <c r="Q59" s="186"/>
      <c r="R59" s="186"/>
      <c r="S59" s="186"/>
      <c r="T59" s="186"/>
      <c r="U59" s="199"/>
      <c r="V59" s="199"/>
      <c r="W59" s="199"/>
      <c r="X59" s="764"/>
      <c r="Y59" s="199"/>
      <c r="Z59" s="187"/>
      <c r="AA59" s="187"/>
      <c r="AB59" s="187"/>
      <c r="AC59" s="200"/>
      <c r="AD59" s="200"/>
    </row>
    <row r="60" spans="1:30" ht="16.5">
      <c r="A60" s="40"/>
      <c r="B60" s="46"/>
      <c r="C60" s="46"/>
      <c r="D60" s="46"/>
      <c r="E60" s="40"/>
      <c r="F60" s="40"/>
      <c r="G60" s="40"/>
      <c r="H60" s="40"/>
      <c r="I60" s="53"/>
      <c r="J60" s="35" t="str">
        <f t="shared" ref="J60:J71" si="7">IF(B9="","",B9)</f>
        <v/>
      </c>
      <c r="K60" s="36"/>
      <c r="L60" s="54"/>
      <c r="M60" s="54"/>
      <c r="N60" s="54"/>
      <c r="O60" s="54"/>
      <c r="P60" s="54"/>
      <c r="Q60" s="54"/>
      <c r="R60" s="54"/>
      <c r="S60" s="54"/>
      <c r="T60" s="54"/>
      <c r="U60" s="199"/>
      <c r="V60" s="186"/>
      <c r="W60" s="199"/>
      <c r="X60" s="186"/>
      <c r="Y60" s="187"/>
      <c r="Z60" s="187"/>
      <c r="AA60" s="187"/>
      <c r="AB60" s="56"/>
      <c r="AC60" s="56"/>
      <c r="AD60" s="56"/>
    </row>
    <row r="61" spans="1:30" ht="19.5" customHeight="1">
      <c r="A61" s="40"/>
      <c r="B61" s="40"/>
      <c r="C61" s="170"/>
      <c r="D61" s="40"/>
      <c r="E61" s="40"/>
      <c r="F61" s="40"/>
      <c r="G61" s="40"/>
      <c r="H61" s="40"/>
      <c r="I61" s="53"/>
      <c r="J61" s="35" t="str">
        <f t="shared" si="7"/>
        <v/>
      </c>
      <c r="K61" s="36"/>
      <c r="L61" s="54"/>
      <c r="M61" s="54"/>
      <c r="N61" s="54"/>
      <c r="O61" s="54"/>
      <c r="P61" s="54"/>
      <c r="Q61" s="54"/>
      <c r="R61" s="54"/>
      <c r="S61" s="54"/>
      <c r="T61" s="54"/>
      <c r="U61" s="199"/>
      <c r="V61" s="199"/>
      <c r="W61" s="199"/>
      <c r="X61" s="199"/>
      <c r="Y61" s="201"/>
      <c r="Z61" s="201"/>
      <c r="AA61" s="201"/>
      <c r="AB61" s="200"/>
      <c r="AC61" s="200"/>
      <c r="AD61" s="200"/>
    </row>
    <row r="62" spans="1:30" ht="16.5">
      <c r="H62" s="40"/>
      <c r="I62" s="57"/>
      <c r="J62" s="35" t="str">
        <f t="shared" si="7"/>
        <v/>
      </c>
      <c r="K62" s="36"/>
      <c r="L62" s="54"/>
      <c r="M62" s="54"/>
      <c r="N62" s="54"/>
      <c r="O62" s="54"/>
      <c r="P62" s="54"/>
      <c r="Q62" s="54"/>
      <c r="R62" s="54"/>
      <c r="S62" s="54"/>
      <c r="T62" s="54"/>
      <c r="U62" s="199"/>
      <c r="V62" s="199"/>
      <c r="W62" s="199"/>
      <c r="X62" s="199"/>
      <c r="Y62" s="187"/>
      <c r="Z62" s="187"/>
      <c r="AA62" s="187"/>
      <c r="AB62" s="200"/>
      <c r="AC62" s="200"/>
      <c r="AD62" s="200"/>
    </row>
    <row r="63" spans="1:30" ht="19.5">
      <c r="B63" s="227" t="s">
        <v>174</v>
      </c>
      <c r="C63" s="58" t="s">
        <v>76</v>
      </c>
      <c r="H63" s="40"/>
      <c r="I63" s="53"/>
      <c r="J63" s="35" t="str">
        <f t="shared" si="7"/>
        <v/>
      </c>
      <c r="K63" s="36"/>
      <c r="L63" s="54"/>
      <c r="M63" s="54"/>
      <c r="N63" s="54"/>
      <c r="O63" s="54"/>
      <c r="P63" s="54"/>
      <c r="Q63" s="54"/>
      <c r="R63" s="54"/>
      <c r="S63" s="54"/>
      <c r="T63" s="54"/>
      <c r="U63" s="199"/>
      <c r="V63" s="199"/>
      <c r="W63" s="199"/>
      <c r="X63" s="199"/>
      <c r="Y63" s="187"/>
      <c r="Z63" s="187"/>
      <c r="AA63" s="187"/>
      <c r="AB63" s="200"/>
      <c r="AC63" s="200"/>
      <c r="AD63" s="200"/>
    </row>
    <row r="64" spans="1:30" ht="16.5">
      <c r="C64" s="216" t="s">
        <v>149</v>
      </c>
      <c r="H64" s="40"/>
      <c r="I64" s="53"/>
      <c r="J64" s="35" t="str">
        <f t="shared" si="7"/>
        <v/>
      </c>
      <c r="K64" s="36"/>
      <c r="L64" s="54"/>
      <c r="M64" s="54"/>
      <c r="N64" s="54"/>
      <c r="O64" s="54"/>
      <c r="P64" s="54"/>
      <c r="Q64" s="54"/>
      <c r="R64" s="54"/>
      <c r="S64" s="54"/>
      <c r="T64" s="54"/>
      <c r="U64" s="199"/>
      <c r="V64" s="199"/>
      <c r="W64" s="199"/>
      <c r="X64" s="199"/>
      <c r="Y64" s="187"/>
      <c r="Z64" s="187"/>
      <c r="AA64" s="187"/>
      <c r="AB64" s="59"/>
      <c r="AC64" s="59"/>
      <c r="AD64" s="59"/>
    </row>
    <row r="65" spans="1:30" ht="16.5">
      <c r="C65" s="41" t="str">
        <f>'代表特性(C4)'!C3</f>
        <v>IF(x)-lm%(y)</v>
      </c>
      <c r="D65" s="41" t="str">
        <f>'代表特性(C4)'!D3</f>
        <v>lm%(x)-IF(y)</v>
      </c>
      <c r="E65" s="41" t="str">
        <f>'代表特性(C4)'!E3</f>
        <v>IF(x)-VF%(y)</v>
      </c>
      <c r="F65" s="41" t="str">
        <f>'代表特性(C4)'!F3</f>
        <v>Tc(x)-lm%(y)</v>
      </c>
      <c r="G65" s="41" t="str">
        <f>'代表特性(C4)'!G3</f>
        <v>Tc(x)-VF%(y)</v>
      </c>
      <c r="H65" s="40"/>
      <c r="I65" s="53"/>
      <c r="J65" s="35" t="str">
        <f>IF(B14="","",B14)</f>
        <v/>
      </c>
      <c r="K65" s="36"/>
      <c r="L65" s="54"/>
      <c r="M65" s="54"/>
      <c r="N65" s="54"/>
      <c r="O65" s="54"/>
      <c r="P65" s="54"/>
      <c r="Q65" s="54"/>
      <c r="R65" s="54"/>
      <c r="S65" s="54"/>
      <c r="T65" s="54"/>
      <c r="U65" s="199"/>
      <c r="V65" s="199"/>
      <c r="W65" s="199"/>
      <c r="X65" s="199"/>
      <c r="Y65" s="202"/>
      <c r="Z65" s="202"/>
      <c r="AA65" s="202"/>
      <c r="AB65" s="200"/>
      <c r="AC65" s="200"/>
      <c r="AD65" s="200"/>
    </row>
    <row r="66" spans="1:30" ht="16.5">
      <c r="B66" s="60" t="s">
        <v>28</v>
      </c>
      <c r="C66" s="37">
        <f>'代表特性(C4)'!C4</f>
        <v>5.6231687397017703E-9</v>
      </c>
      <c r="D66" s="37">
        <f>'代表特性(C4)'!D4</f>
        <v>1.0968818264518601</v>
      </c>
      <c r="E66" s="37">
        <f>'代表特性(C4)'!E4</f>
        <v>-1.5740768923686901E-6</v>
      </c>
      <c r="F66" s="37">
        <f>'代表特性(C4)'!F4</f>
        <v>-1.115215453639155E-8</v>
      </c>
      <c r="G66" s="37">
        <f>'代表特性(C4)'!G4</f>
        <v>2.7366883102613162E-6</v>
      </c>
      <c r="H66" s="40"/>
      <c r="I66" s="53"/>
      <c r="J66" s="35" t="str">
        <f t="shared" si="7"/>
        <v/>
      </c>
      <c r="K66" s="36"/>
      <c r="L66" s="54"/>
      <c r="M66" s="54"/>
      <c r="N66" s="54"/>
      <c r="O66" s="54"/>
      <c r="P66" s="54"/>
      <c r="Q66" s="54"/>
      <c r="R66" s="54"/>
      <c r="S66" s="54"/>
      <c r="T66" s="54"/>
      <c r="U66" s="199"/>
      <c r="V66" s="199"/>
      <c r="W66" s="199"/>
      <c r="X66" s="199"/>
      <c r="Y66" s="202"/>
      <c r="Z66" s="202"/>
      <c r="AA66" s="202"/>
      <c r="AB66" s="200"/>
      <c r="AC66" s="200"/>
      <c r="AD66" s="200"/>
    </row>
    <row r="67" spans="1:30" ht="16.5">
      <c r="B67" s="60" t="s">
        <v>29</v>
      </c>
      <c r="C67" s="37">
        <f>'代表特性(C4)'!C5</f>
        <v>-6.8430471092030796E-6</v>
      </c>
      <c r="D67" s="37">
        <f>'代表特性(C4)'!D5</f>
        <v>28.364491609474101</v>
      </c>
      <c r="E67" s="37">
        <f>'代表特性(C4)'!E5</f>
        <v>1.2473616721143199E-3</v>
      </c>
      <c r="F67" s="37">
        <f>'代表特性(C4)'!F5</f>
        <v>-4.1294483136519757E-6</v>
      </c>
      <c r="G67" s="37">
        <f>'代表特性(C4)'!G5</f>
        <v>-9.4613757242850683E-4</v>
      </c>
      <c r="H67" s="40"/>
      <c r="I67" s="53"/>
      <c r="J67" s="35" t="str">
        <f t="shared" si="7"/>
        <v/>
      </c>
      <c r="K67" s="36"/>
      <c r="L67" s="54"/>
      <c r="M67" s="54"/>
      <c r="N67" s="54"/>
      <c r="O67" s="54"/>
      <c r="P67" s="54"/>
      <c r="Q67" s="54"/>
      <c r="R67" s="54"/>
      <c r="S67" s="54"/>
      <c r="T67" s="54"/>
      <c r="U67" s="199"/>
      <c r="V67" s="199"/>
      <c r="W67" s="199"/>
      <c r="X67" s="199"/>
      <c r="Y67" s="186"/>
      <c r="Z67" s="186"/>
      <c r="AA67" s="186"/>
      <c r="AB67" s="200"/>
      <c r="AC67" s="200"/>
      <c r="AD67" s="200"/>
    </row>
    <row r="68" spans="1:30" ht="16.5">
      <c r="B68" s="60" t="s">
        <v>30</v>
      </c>
      <c r="C68" s="37">
        <f>'代表特性(C4)'!C6</f>
        <v>6.7343756711103903E-3</v>
      </c>
      <c r="D68" s="37">
        <f>'代表特性(C4)'!D6</f>
        <v>145.51790587821401</v>
      </c>
      <c r="E68" s="37">
        <f>'代表特性(C4)'!E6</f>
        <v>0.82991781220878702</v>
      </c>
      <c r="F68" s="37">
        <f>'代表特性(C4)'!F6</f>
        <v>-1.3906686657642209E-3</v>
      </c>
      <c r="G68" s="37">
        <f>'代表特性(C4)'!G6</f>
        <v>1.0219430090961608</v>
      </c>
      <c r="H68" s="40"/>
      <c r="I68" s="53"/>
      <c r="J68" s="35" t="str">
        <f t="shared" si="7"/>
        <v/>
      </c>
      <c r="K68" s="36"/>
      <c r="L68" s="54"/>
      <c r="M68" s="54"/>
      <c r="N68" s="54"/>
      <c r="O68" s="54"/>
      <c r="P68" s="54"/>
      <c r="Q68" s="54"/>
      <c r="R68" s="54"/>
      <c r="S68" s="54"/>
      <c r="T68" s="54"/>
      <c r="U68" s="199"/>
      <c r="V68" s="199"/>
      <c r="W68" s="199"/>
      <c r="X68" s="199"/>
      <c r="Y68" s="186"/>
      <c r="Z68" s="186"/>
      <c r="AA68" s="186"/>
      <c r="AB68" s="59"/>
      <c r="AC68" s="59"/>
      <c r="AD68" s="59"/>
    </row>
    <row r="69" spans="1:30" ht="16.5">
      <c r="B69" s="60" t="s">
        <v>44</v>
      </c>
      <c r="C69" s="37">
        <f>'代表特性(C4)'!C7</f>
        <v>9.1590531069136397E-4</v>
      </c>
      <c r="D69" s="37">
        <f>'代表特性(C4)'!D7</f>
        <v>0.151560797680589</v>
      </c>
      <c r="E69" s="37"/>
      <c r="F69" s="37">
        <f>'代表特性(C4)'!F7</f>
        <v>1.0375218742414281</v>
      </c>
      <c r="G69" s="37"/>
      <c r="H69" s="40"/>
      <c r="I69" s="53"/>
      <c r="J69" s="35" t="str">
        <f t="shared" si="7"/>
        <v/>
      </c>
      <c r="K69" s="36"/>
      <c r="L69" s="54"/>
      <c r="M69" s="54"/>
      <c r="N69" s="54"/>
      <c r="O69" s="54"/>
      <c r="P69" s="54"/>
      <c r="Q69" s="54"/>
      <c r="R69" s="54"/>
      <c r="S69" s="54"/>
      <c r="T69" s="54"/>
      <c r="U69" s="199"/>
      <c r="V69" s="199"/>
      <c r="W69" s="199"/>
      <c r="X69" s="199"/>
      <c r="Y69" s="186"/>
      <c r="Z69" s="186"/>
      <c r="AA69" s="186"/>
      <c r="AB69" s="54"/>
      <c r="AC69" s="54"/>
      <c r="AD69" s="54"/>
    </row>
    <row r="70" spans="1:30" ht="16.5">
      <c r="C70" s="216" t="s">
        <v>679</v>
      </c>
      <c r="H70" s="40"/>
      <c r="I70" s="53"/>
      <c r="J70" s="35" t="str">
        <f t="shared" si="7"/>
        <v/>
      </c>
      <c r="K70" s="36"/>
      <c r="L70" s="54"/>
      <c r="M70" s="54"/>
      <c r="N70" s="54"/>
      <c r="O70" s="54"/>
      <c r="P70" s="54"/>
      <c r="Q70" s="54"/>
      <c r="R70" s="54"/>
      <c r="S70" s="54"/>
      <c r="T70" s="54"/>
      <c r="U70" s="199"/>
      <c r="V70" s="199"/>
      <c r="W70" s="199"/>
      <c r="X70" s="199"/>
      <c r="Y70" s="186"/>
      <c r="Z70" s="186"/>
      <c r="AA70" s="186"/>
      <c r="AB70" s="54"/>
      <c r="AC70" s="54"/>
      <c r="AD70" s="54"/>
    </row>
    <row r="71" spans="1:30" ht="16.5">
      <c r="A71" s="40"/>
      <c r="C71" s="41" t="str">
        <f>'代表特性(C9)'!C3</f>
        <v>IF(x)-lm%(y)</v>
      </c>
      <c r="D71" s="41" t="str">
        <f>'代表特性(C9)'!D3</f>
        <v>lm%(x)-IF(y)</v>
      </c>
      <c r="E71" s="41" t="str">
        <f>'代表特性(C9)'!E3</f>
        <v>IF(x)-VF%(y)</v>
      </c>
      <c r="F71" s="41" t="str">
        <f>'代表特性(C9)'!F3</f>
        <v>Tc(x)-lm%(y)</v>
      </c>
      <c r="G71" s="41" t="str">
        <f>'代表特性(C9)'!G3</f>
        <v>Tc(x)-VF%(y)</v>
      </c>
      <c r="H71" s="40"/>
      <c r="I71" s="53"/>
      <c r="J71" s="35" t="str">
        <f t="shared" si="7"/>
        <v/>
      </c>
      <c r="K71" s="36"/>
      <c r="L71" s="54"/>
      <c r="M71" s="54"/>
      <c r="N71" s="54"/>
      <c r="O71" s="54"/>
      <c r="P71" s="54"/>
      <c r="Q71" s="54"/>
      <c r="R71" s="54"/>
      <c r="S71" s="54"/>
      <c r="T71" s="54"/>
      <c r="U71" s="199"/>
      <c r="V71" s="199"/>
      <c r="W71" s="199"/>
      <c r="X71" s="199"/>
      <c r="Y71" s="186"/>
      <c r="Z71" s="186"/>
      <c r="AA71" s="186"/>
      <c r="AB71" s="54"/>
      <c r="AC71" s="54"/>
      <c r="AD71" s="54"/>
    </row>
    <row r="72" spans="1:30" ht="16.5">
      <c r="A72" s="40"/>
      <c r="B72" s="60" t="s">
        <v>28</v>
      </c>
      <c r="C72" s="37">
        <f>'代表特性(C9)'!C4</f>
        <v>2.4827670185275499E-9</v>
      </c>
      <c r="D72" s="37">
        <f>'代表特性(C9)'!D4</f>
        <v>10.281993740812391</v>
      </c>
      <c r="E72" s="37">
        <f>'代表特性(C9)'!E4</f>
        <v>-5.5791916066851983E-7</v>
      </c>
      <c r="F72" s="37">
        <f>'代表特性(C9)'!F4</f>
        <v>-1.8910606314372557E-10</v>
      </c>
      <c r="G72" s="37">
        <f>'代表特性(C9)'!G4</f>
        <v>1.4835966164305514E-6</v>
      </c>
      <c r="H72" s="40"/>
      <c r="I72" s="40"/>
      <c r="J72" s="40"/>
      <c r="M72" s="61"/>
      <c r="N72" s="61"/>
      <c r="O72" s="62"/>
      <c r="P72" s="61"/>
      <c r="Q72" s="61"/>
      <c r="R72" s="61"/>
      <c r="S72" s="61"/>
      <c r="T72" s="63"/>
      <c r="U72" s="61"/>
      <c r="V72" s="60"/>
      <c r="W72" s="60"/>
      <c r="X72" s="60"/>
      <c r="Y72" s="60"/>
      <c r="Z72" s="64"/>
    </row>
    <row r="73" spans="1:30" ht="16.5">
      <c r="A73" s="40"/>
      <c r="B73" s="60" t="s">
        <v>29</v>
      </c>
      <c r="C73" s="37">
        <f>'代表特性(C9)'!C5</f>
        <v>-5.6711192129284104E-6</v>
      </c>
      <c r="D73" s="37">
        <f>'代表特性(C9)'!D5</f>
        <v>8.8473438039176244</v>
      </c>
      <c r="E73" s="37">
        <f>'代表特性(C9)'!E5</f>
        <v>8.144687487121918E-4</v>
      </c>
      <c r="F73" s="37">
        <f>'代表特性(C9)'!F5</f>
        <v>-6.5694857122192818E-6</v>
      </c>
      <c r="G73" s="37">
        <f>'代表特性(C9)'!G5</f>
        <v>-7.2950694561150792E-4</v>
      </c>
      <c r="H73" s="40"/>
      <c r="I73" s="40"/>
      <c r="J73" s="40"/>
      <c r="L73" s="40"/>
      <c r="M73" s="61"/>
      <c r="N73" s="61"/>
      <c r="O73" s="62"/>
      <c r="P73" s="61"/>
      <c r="Q73" s="61"/>
      <c r="R73" s="61"/>
      <c r="S73" s="61"/>
      <c r="T73" s="63"/>
      <c r="U73" s="61"/>
      <c r="V73" s="60"/>
      <c r="W73" s="60"/>
      <c r="X73" s="60"/>
      <c r="Y73" s="60"/>
      <c r="Z73" s="64"/>
    </row>
    <row r="74" spans="1:30" ht="19.5">
      <c r="A74" s="40"/>
      <c r="B74" s="60" t="s">
        <v>30</v>
      </c>
      <c r="C74" s="37">
        <f>'代表特性(C9)'!C6</f>
        <v>6.6193247878621152E-3</v>
      </c>
      <c r="D74" s="37">
        <f>'代表特性(C9)'!D6</f>
        <v>157.0924900274988</v>
      </c>
      <c r="E74" s="37">
        <f>'代表特性(C9)'!E6</f>
        <v>0.87455424327084008</v>
      </c>
      <c r="F74" s="37">
        <f>'代表特性(C9)'!F6</f>
        <v>-1.3017320797095156E-3</v>
      </c>
      <c r="G74" s="37">
        <f>'代表特性(C9)'!G6</f>
        <v>1.0173104257550183</v>
      </c>
      <c r="H74" s="40"/>
      <c r="I74" s="40"/>
      <c r="J74" s="40"/>
      <c r="L74" s="227" t="s">
        <v>225</v>
      </c>
      <c r="M74" s="61"/>
      <c r="N74" s="61"/>
      <c r="O74" s="62"/>
      <c r="P74" s="61"/>
      <c r="Q74" s="61"/>
      <c r="R74" s="61"/>
      <c r="S74" s="61"/>
      <c r="T74" s="63"/>
      <c r="U74" s="61"/>
      <c r="V74" s="60"/>
      <c r="W74" s="60"/>
      <c r="X74" s="60"/>
      <c r="Y74" s="60"/>
      <c r="Z74" s="64"/>
    </row>
    <row r="75" spans="1:30" ht="16.5">
      <c r="B75" s="60" t="s">
        <v>44</v>
      </c>
      <c r="C75" s="37">
        <f>'代表特性(C9)'!C7</f>
        <v>1.9901085301417543E-3</v>
      </c>
      <c r="D75" s="37">
        <f>'代表特性(C9)'!D7</f>
        <v>-1.2218275722288112</v>
      </c>
      <c r="E75" s="37"/>
      <c r="F75" s="37">
        <f>'代表特性(C9)'!F7</f>
        <v>1.0366521853451116</v>
      </c>
      <c r="G75" s="37"/>
      <c r="H75" s="61"/>
      <c r="I75" s="61"/>
      <c r="J75" s="61"/>
      <c r="K75" s="61"/>
      <c r="L75" s="689">
        <v>1</v>
      </c>
      <c r="M75" s="689">
        <v>2</v>
      </c>
      <c r="N75" s="689">
        <v>3</v>
      </c>
      <c r="O75" s="689">
        <v>4</v>
      </c>
      <c r="P75" s="689">
        <v>5</v>
      </c>
      <c r="Q75" s="52">
        <v>6</v>
      </c>
      <c r="R75" s="52">
        <v>7</v>
      </c>
      <c r="S75" s="52">
        <v>8</v>
      </c>
      <c r="T75" s="690">
        <v>9</v>
      </c>
      <c r="U75" s="690">
        <v>10</v>
      </c>
      <c r="V75" s="690">
        <v>11</v>
      </c>
      <c r="W75" s="690">
        <v>12</v>
      </c>
      <c r="X75" s="765">
        <v>13</v>
      </c>
      <c r="Y75" s="765">
        <v>14</v>
      </c>
      <c r="Z75" s="765">
        <v>15</v>
      </c>
      <c r="AA75" s="766">
        <v>16</v>
      </c>
      <c r="AB75" s="766">
        <v>17</v>
      </c>
      <c r="AC75" s="766">
        <v>18</v>
      </c>
      <c r="AD75" s="766">
        <v>19</v>
      </c>
    </row>
    <row r="76" spans="1:30" ht="16.5">
      <c r="H76" s="39" t="s">
        <v>1</v>
      </c>
      <c r="I76" s="39" t="s">
        <v>2</v>
      </c>
      <c r="J76" s="61"/>
      <c r="K76" s="61" t="s">
        <v>31</v>
      </c>
      <c r="L76" s="689" t="str">
        <f>L53</f>
        <v>4000K,80Min</v>
      </c>
      <c r="M76" s="689" t="str">
        <f t="shared" ref="M76:AD76" si="8">M53</f>
        <v>3500K,80Min</v>
      </c>
      <c r="N76" s="689" t="str">
        <f t="shared" si="8"/>
        <v>3000K,80Min</v>
      </c>
      <c r="O76" s="689" t="str">
        <f t="shared" si="8"/>
        <v>2700K,80Min</v>
      </c>
      <c r="P76" s="689" t="str">
        <f t="shared" si="8"/>
        <v>4000K,90Min On BBL</v>
      </c>
      <c r="Q76" s="52" t="str">
        <f t="shared" si="8"/>
        <v>3500K,90Min On BBL</v>
      </c>
      <c r="R76" s="52" t="str">
        <f t="shared" si="8"/>
        <v>3000K,90Min On BBL</v>
      </c>
      <c r="S76" s="52" t="str">
        <f t="shared" si="8"/>
        <v>2700K,90Min On BBL</v>
      </c>
      <c r="T76" s="690" t="str">
        <f t="shared" si="8"/>
        <v>4000K,97Typ</v>
      </c>
      <c r="U76" s="690" t="str">
        <f t="shared" si="8"/>
        <v>3500K,97Typ</v>
      </c>
      <c r="V76" s="690" t="str">
        <f t="shared" si="8"/>
        <v>3000K,97Typ</v>
      </c>
      <c r="W76" s="690" t="str">
        <f t="shared" si="8"/>
        <v>2700K,97Typ</v>
      </c>
      <c r="X76" s="765" t="e">
        <f t="shared" si="8"/>
        <v>#N/A</v>
      </c>
      <c r="Y76" s="765" t="e">
        <f t="shared" si="8"/>
        <v>#N/A</v>
      </c>
      <c r="Z76" s="765" t="e">
        <f t="shared" si="8"/>
        <v>#N/A</v>
      </c>
      <c r="AA76" s="765" t="e">
        <f t="shared" si="8"/>
        <v>#N/A</v>
      </c>
      <c r="AB76" s="765" t="e">
        <f t="shared" si="8"/>
        <v>#N/A</v>
      </c>
      <c r="AC76" s="766" t="e">
        <f t="shared" si="8"/>
        <v>#N/A</v>
      </c>
      <c r="AD76" s="766" t="e">
        <f t="shared" si="8"/>
        <v>#N/A</v>
      </c>
    </row>
    <row r="77" spans="1:30" ht="16.5">
      <c r="C77" s="281"/>
      <c r="F77" s="281"/>
      <c r="G77" s="40">
        <f t="shared" ref="G77:G80" si="9">IF(H77="","",H77*I77)</f>
        <v>7</v>
      </c>
      <c r="H77" s="258" t="str">
        <f>IF(C3="","",C3)</f>
        <v>07</v>
      </c>
      <c r="I77" s="258" t="str">
        <f t="shared" ref="I77:I94" si="10">IF(D3="","",D3)</f>
        <v>01</v>
      </c>
      <c r="J77" s="40" t="str">
        <f>B3</f>
        <v>CLU7B2</v>
      </c>
      <c r="K77" s="65">
        <f>Tcスペック算出!J11</f>
        <v>21.911720850566429</v>
      </c>
      <c r="L77" s="55">
        <f>L54/$K54</f>
        <v>514.62718558601205</v>
      </c>
      <c r="M77" s="55">
        <f t="shared" ref="M77:W77" si="11">M54/$K54</f>
        <v>507.07500466546264</v>
      </c>
      <c r="N77" s="55">
        <f t="shared" si="11"/>
        <v>486.57622788111416</v>
      </c>
      <c r="O77" s="55">
        <f t="shared" si="11"/>
        <v>464.99856810811576</v>
      </c>
      <c r="P77" s="55">
        <f t="shared" si="11"/>
        <v>448.81532327836698</v>
      </c>
      <c r="Q77" s="55">
        <f t="shared" si="11"/>
        <v>439.10537638051767</v>
      </c>
      <c r="R77" s="55">
        <f t="shared" si="11"/>
        <v>419.68548258481911</v>
      </c>
      <c r="S77" s="55">
        <f t="shared" si="11"/>
        <v>397.02893982317079</v>
      </c>
      <c r="T77" s="55">
        <f t="shared" si="11"/>
        <v>407.81776970966996</v>
      </c>
      <c r="U77" s="55">
        <f t="shared" si="11"/>
        <v>401.34447177777042</v>
      </c>
      <c r="V77" s="55">
        <f t="shared" si="11"/>
        <v>370.05686510692277</v>
      </c>
      <c r="W77" s="55">
        <f t="shared" si="11"/>
        <v>351.71585429987408</v>
      </c>
      <c r="X77" s="770"/>
      <c r="Y77" s="54"/>
      <c r="Z77" s="54"/>
      <c r="AA77" s="54"/>
      <c r="AB77" s="54"/>
      <c r="AC77" s="54"/>
      <c r="AD77" s="54"/>
    </row>
    <row r="78" spans="1:30" ht="16.5">
      <c r="G78" s="40">
        <f t="shared" si="9"/>
        <v>12</v>
      </c>
      <c r="H78" s="258" t="str">
        <f t="shared" ref="H78:H82" si="12">IF(C4="","",C4)</f>
        <v>04</v>
      </c>
      <c r="I78" s="258" t="str">
        <f t="shared" ref="I78:I82" si="13">IF(D4="","",D4)</f>
        <v>03</v>
      </c>
      <c r="J78" s="40" t="str">
        <f t="shared" ref="J78:J81" si="14">B4</f>
        <v>CLU7A2</v>
      </c>
      <c r="K78" s="65">
        <f>Tcスペック算出!J16</f>
        <v>12.165197967921815</v>
      </c>
      <c r="L78" s="55">
        <f t="shared" ref="L78:W78" si="15">L55/$K55</f>
        <v>887.78615307170719</v>
      </c>
      <c r="M78" s="55">
        <f t="shared" si="15"/>
        <v>867.16520330598291</v>
      </c>
      <c r="N78" s="55">
        <f t="shared" si="15"/>
        <v>845.4589403946942</v>
      </c>
      <c r="O78" s="55">
        <f t="shared" si="15"/>
        <v>808.55829344550341</v>
      </c>
      <c r="P78" s="55">
        <f t="shared" si="15"/>
        <v>777.08421222413483</v>
      </c>
      <c r="Q78" s="55">
        <f t="shared" si="15"/>
        <v>767.31639391405497</v>
      </c>
      <c r="R78" s="55">
        <f t="shared" si="15"/>
        <v>716.30667607252656</v>
      </c>
      <c r="S78" s="55">
        <f t="shared" si="15"/>
        <v>678.32071597777133</v>
      </c>
      <c r="T78" s="55">
        <f t="shared" si="15"/>
        <v>716.30667607252656</v>
      </c>
      <c r="U78" s="55">
        <f t="shared" si="15"/>
        <v>682.66196856002909</v>
      </c>
      <c r="V78" s="55">
        <f t="shared" si="15"/>
        <v>635.99350330075845</v>
      </c>
      <c r="W78" s="55">
        <f t="shared" si="15"/>
        <v>609.94598780721196</v>
      </c>
      <c r="X78" s="186"/>
      <c r="Y78" s="54"/>
      <c r="Z78" s="54"/>
      <c r="AA78" s="186"/>
      <c r="AB78" s="186"/>
      <c r="AC78" s="186"/>
      <c r="AD78" s="186"/>
    </row>
    <row r="79" spans="1:30" ht="16.5">
      <c r="G79" s="40">
        <f t="shared" si="9"/>
        <v>12</v>
      </c>
      <c r="H79" s="258">
        <f t="shared" si="12"/>
        <v>12</v>
      </c>
      <c r="I79" s="258" t="str">
        <f t="shared" si="13"/>
        <v>01</v>
      </c>
      <c r="J79" s="40" t="str">
        <f t="shared" si="14"/>
        <v>CLU7A2</v>
      </c>
      <c r="K79" s="65">
        <f>Tcスペック算出!J12</f>
        <v>36.495593903765446</v>
      </c>
      <c r="L79" s="55">
        <f t="shared" ref="L79:W79" si="16">L56/$K56</f>
        <v>887.78615307170719</v>
      </c>
      <c r="M79" s="55">
        <f t="shared" si="16"/>
        <v>867.16520330598291</v>
      </c>
      <c r="N79" s="55">
        <f t="shared" si="16"/>
        <v>845.4589403946942</v>
      </c>
      <c r="O79" s="55">
        <f t="shared" si="16"/>
        <v>808.55829344550341</v>
      </c>
      <c r="P79" s="55">
        <f t="shared" si="16"/>
        <v>777.08421222413483</v>
      </c>
      <c r="Q79" s="55">
        <f t="shared" si="16"/>
        <v>767.31639391405497</v>
      </c>
      <c r="R79" s="55">
        <f t="shared" si="16"/>
        <v>716.30667607252656</v>
      </c>
      <c r="S79" s="55">
        <f t="shared" si="16"/>
        <v>678.32071597777133</v>
      </c>
      <c r="T79" s="55">
        <f t="shared" si="16"/>
        <v>716.30667607252656</v>
      </c>
      <c r="U79" s="55">
        <f t="shared" si="16"/>
        <v>682.66196856002909</v>
      </c>
      <c r="V79" s="55">
        <f t="shared" si="16"/>
        <v>635.99350330075845</v>
      </c>
      <c r="W79" s="55">
        <f t="shared" si="16"/>
        <v>609.94598780721196</v>
      </c>
      <c r="X79" s="186"/>
      <c r="Y79" s="54"/>
      <c r="Z79" s="54"/>
      <c r="AA79" s="54"/>
      <c r="AB79" s="54"/>
      <c r="AC79" s="54"/>
      <c r="AD79" s="54"/>
    </row>
    <row r="80" spans="1:30" ht="16.5">
      <c r="G80" s="40">
        <f t="shared" si="9"/>
        <v>24</v>
      </c>
      <c r="H80" s="258">
        <f t="shared" si="12"/>
        <v>12</v>
      </c>
      <c r="I80" s="258" t="str">
        <f t="shared" si="13"/>
        <v>02</v>
      </c>
      <c r="J80" s="40" t="str">
        <f t="shared" si="14"/>
        <v>CLU702</v>
      </c>
      <c r="K80" s="65">
        <f>Tcスペック算出!J13</f>
        <v>36.470689155601832</v>
      </c>
      <c r="L80" s="55">
        <f t="shared" ref="L80:W80" si="17">L57/$K57</f>
        <v>1794.1908551900012</v>
      </c>
      <c r="M80" s="55">
        <f t="shared" si="17"/>
        <v>1760.6444640495367</v>
      </c>
      <c r="N80" s="55">
        <f t="shared" si="17"/>
        <v>1705.4552399152242</v>
      </c>
      <c r="O80" s="55">
        <f t="shared" si="17"/>
        <v>1625.3767578379866</v>
      </c>
      <c r="P80" s="55">
        <f t="shared" si="17"/>
        <v>1540.9697091619794</v>
      </c>
      <c r="Q80" s="55">
        <f t="shared" si="17"/>
        <v>1536.6411425632098</v>
      </c>
      <c r="R80" s="55">
        <f t="shared" si="17"/>
        <v>1452.2340938872023</v>
      </c>
      <c r="S80" s="55">
        <f t="shared" si="17"/>
        <v>1348.3484955167319</v>
      </c>
      <c r="T80" s="55">
        <f t="shared" si="17"/>
        <v>1474.9590685307428</v>
      </c>
      <c r="U80" s="55">
        <f t="shared" si="17"/>
        <v>1378.6484617081192</v>
      </c>
      <c r="V80" s="55">
        <f t="shared" si="17"/>
        <v>1284.5021381848803</v>
      </c>
      <c r="W80" s="55">
        <f t="shared" si="17"/>
        <v>1222.8200641524134</v>
      </c>
      <c r="X80" s="199"/>
      <c r="Y80" s="54"/>
      <c r="Z80" s="54"/>
      <c r="AA80" s="186"/>
      <c r="AB80" s="186"/>
      <c r="AC80" s="186"/>
      <c r="AD80" s="186"/>
    </row>
    <row r="81" spans="1:30" ht="16.5">
      <c r="G81" s="40">
        <f>IF(H81="","",H81*I81)</f>
        <v>48</v>
      </c>
      <c r="H81" s="258">
        <f t="shared" si="12"/>
        <v>12</v>
      </c>
      <c r="I81" s="258" t="str">
        <f t="shared" si="13"/>
        <v>04</v>
      </c>
      <c r="J81" s="40" t="str">
        <f t="shared" si="14"/>
        <v>CLU712</v>
      </c>
      <c r="K81" s="65">
        <f>Tcスペック算出!J14</f>
        <v>36.415414154482193</v>
      </c>
      <c r="L81" s="55">
        <f t="shared" ref="L81:W81" si="18">L58/$K58</f>
        <v>3616.2765037884815</v>
      </c>
      <c r="M81" s="55">
        <f t="shared" si="18"/>
        <v>3575.4146223897415</v>
      </c>
      <c r="N81" s="55">
        <f t="shared" si="18"/>
        <v>3436.6992881677033</v>
      </c>
      <c r="O81" s="55">
        <f t="shared" si="18"/>
        <v>3327.0173959921385</v>
      </c>
      <c r="P81" s="55">
        <f t="shared" si="18"/>
        <v>3139.9129916926454</v>
      </c>
      <c r="Q81" s="55">
        <f t="shared" si="18"/>
        <v>3095.8251722887417</v>
      </c>
      <c r="R81" s="55">
        <f t="shared" si="18"/>
        <v>2933.4529593621701</v>
      </c>
      <c r="S81" s="55">
        <f t="shared" si="18"/>
        <v>2752.8004310730039</v>
      </c>
      <c r="T81" s="55">
        <f t="shared" si="18"/>
        <v>2899.0429539737574</v>
      </c>
      <c r="U81" s="55">
        <f t="shared" si="18"/>
        <v>2736.6707410471854</v>
      </c>
      <c r="V81" s="55">
        <f t="shared" si="18"/>
        <v>2630.2147868767843</v>
      </c>
      <c r="W81" s="55">
        <f t="shared" si="18"/>
        <v>2493.6500779915218</v>
      </c>
      <c r="X81" s="199"/>
      <c r="Y81" s="54"/>
      <c r="Z81" s="54"/>
      <c r="AA81" s="186"/>
      <c r="AB81" s="186"/>
      <c r="AC81" s="186"/>
      <c r="AD81" s="186"/>
    </row>
    <row r="82" spans="1:30" ht="16.5">
      <c r="G82" s="40" t="str">
        <f t="shared" ref="G82:G94" si="19">IF(H82="","",H82*I82)</f>
        <v/>
      </c>
      <c r="H82" s="258" t="str">
        <f t="shared" si="12"/>
        <v/>
      </c>
      <c r="I82" s="258" t="str">
        <f t="shared" si="13"/>
        <v/>
      </c>
      <c r="J82" s="40"/>
      <c r="K82" s="65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86"/>
      <c r="X82" s="199"/>
      <c r="Y82" s="186"/>
      <c r="Z82" s="186"/>
      <c r="AA82" s="186"/>
      <c r="AB82" s="186"/>
      <c r="AC82" s="186"/>
      <c r="AD82" s="186"/>
    </row>
    <row r="83" spans="1:30" ht="16.5">
      <c r="B83" s="60"/>
      <c r="C83" s="60"/>
      <c r="D83" s="60"/>
      <c r="E83" s="60"/>
      <c r="F83" s="60"/>
      <c r="G83" s="40" t="str">
        <f t="shared" si="19"/>
        <v/>
      </c>
      <c r="H83" s="258" t="str">
        <f t="shared" ref="H83:H94" si="20">IF(C9="","",C9)</f>
        <v/>
      </c>
      <c r="I83" s="258" t="str">
        <f t="shared" si="10"/>
        <v/>
      </c>
      <c r="J83" s="40"/>
      <c r="K83" s="65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</row>
    <row r="84" spans="1:30" ht="16.5">
      <c r="B84" s="60"/>
      <c r="C84" s="38"/>
      <c r="D84" s="38"/>
      <c r="E84" s="38"/>
      <c r="F84" s="38"/>
      <c r="G84" s="40" t="str">
        <f t="shared" si="19"/>
        <v/>
      </c>
      <c r="H84" s="258" t="str">
        <f t="shared" si="20"/>
        <v/>
      </c>
      <c r="I84" s="258" t="str">
        <f t="shared" si="10"/>
        <v/>
      </c>
      <c r="J84" s="40"/>
      <c r="K84" s="65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</row>
    <row r="85" spans="1:30" ht="16.5">
      <c r="B85" s="60"/>
      <c r="C85" s="38"/>
      <c r="D85" s="38"/>
      <c r="E85" s="38"/>
      <c r="F85" s="38"/>
      <c r="G85" s="40" t="str">
        <f t="shared" si="19"/>
        <v/>
      </c>
      <c r="H85" s="258" t="str">
        <f t="shared" si="20"/>
        <v/>
      </c>
      <c r="I85" s="258" t="str">
        <f t="shared" si="10"/>
        <v/>
      </c>
      <c r="J85" s="40"/>
      <c r="K85" s="65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</row>
    <row r="86" spans="1:30" ht="16.5">
      <c r="B86" s="60"/>
      <c r="C86" s="38"/>
      <c r="D86" s="38"/>
      <c r="E86" s="38"/>
      <c r="F86" s="38"/>
      <c r="G86" s="40" t="str">
        <f t="shared" si="19"/>
        <v/>
      </c>
      <c r="H86" s="258" t="str">
        <f t="shared" si="20"/>
        <v/>
      </c>
      <c r="I86" s="258" t="str">
        <f t="shared" si="10"/>
        <v/>
      </c>
      <c r="J86" s="40"/>
      <c r="K86" s="65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</row>
    <row r="87" spans="1:30" ht="16.5">
      <c r="B87" s="61"/>
      <c r="C87" s="38"/>
      <c r="D87" s="38"/>
      <c r="E87" s="40"/>
      <c r="F87" s="38"/>
      <c r="G87" s="40" t="str">
        <f t="shared" si="19"/>
        <v/>
      </c>
      <c r="H87" s="258" t="str">
        <f t="shared" si="20"/>
        <v/>
      </c>
      <c r="I87" s="258" t="str">
        <f t="shared" si="10"/>
        <v/>
      </c>
      <c r="J87" s="40"/>
      <c r="K87" s="65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</row>
    <row r="88" spans="1:30" ht="16.5">
      <c r="A88" s="40"/>
      <c r="B88" s="66"/>
      <c r="C88" s="66"/>
      <c r="D88" s="40"/>
      <c r="E88" s="40"/>
      <c r="G88" s="40" t="str">
        <f t="shared" si="19"/>
        <v/>
      </c>
      <c r="H88" s="258" t="str">
        <f t="shared" si="20"/>
        <v/>
      </c>
      <c r="I88" s="258" t="str">
        <f t="shared" si="10"/>
        <v/>
      </c>
      <c r="J88" s="40"/>
      <c r="K88" s="65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</row>
    <row r="89" spans="1:30" ht="16.5">
      <c r="A89" s="40"/>
      <c r="B89" s="66"/>
      <c r="C89" s="66"/>
      <c r="G89" s="40" t="str">
        <f t="shared" si="19"/>
        <v/>
      </c>
      <c r="H89" s="258" t="str">
        <f t="shared" si="20"/>
        <v/>
      </c>
      <c r="I89" s="258" t="str">
        <f t="shared" si="10"/>
        <v/>
      </c>
      <c r="J89" s="40"/>
      <c r="K89" s="65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</row>
    <row r="90" spans="1:30" ht="16.5">
      <c r="A90" s="40"/>
      <c r="B90" s="67"/>
      <c r="C90" s="68"/>
      <c r="G90" s="40" t="str">
        <f t="shared" si="19"/>
        <v/>
      </c>
      <c r="H90" s="258" t="str">
        <f t="shared" si="20"/>
        <v/>
      </c>
      <c r="I90" s="258" t="str">
        <f t="shared" si="10"/>
        <v/>
      </c>
      <c r="J90" s="40"/>
      <c r="K90" s="65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</row>
    <row r="91" spans="1:30" ht="16.5">
      <c r="A91" s="40"/>
      <c r="B91" s="40"/>
      <c r="C91" s="40"/>
      <c r="G91" s="40" t="str">
        <f t="shared" si="19"/>
        <v/>
      </c>
      <c r="H91" s="258" t="str">
        <f t="shared" si="20"/>
        <v/>
      </c>
      <c r="I91" s="258" t="str">
        <f t="shared" si="10"/>
        <v/>
      </c>
      <c r="J91" s="40"/>
      <c r="K91" s="65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</row>
    <row r="92" spans="1:30" ht="16.5">
      <c r="A92" s="40"/>
      <c r="B92" s="40"/>
      <c r="C92" s="40"/>
      <c r="G92" s="40" t="str">
        <f t="shared" si="19"/>
        <v/>
      </c>
      <c r="H92" s="258" t="str">
        <f t="shared" si="20"/>
        <v/>
      </c>
      <c r="I92" s="258" t="str">
        <f t="shared" si="10"/>
        <v/>
      </c>
      <c r="J92" s="40"/>
      <c r="K92" s="65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</row>
    <row r="93" spans="1:30" ht="16.5">
      <c r="A93" s="40"/>
      <c r="B93" s="66"/>
      <c r="C93" s="66"/>
      <c r="G93" s="40" t="str">
        <f t="shared" si="19"/>
        <v/>
      </c>
      <c r="H93" s="258" t="str">
        <f t="shared" si="20"/>
        <v/>
      </c>
      <c r="I93" s="258" t="str">
        <f t="shared" si="10"/>
        <v/>
      </c>
      <c r="J93" s="40"/>
      <c r="K93" s="65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</row>
    <row r="94" spans="1:30" ht="16.5">
      <c r="A94" s="40"/>
      <c r="B94" s="70"/>
      <c r="C94" s="53"/>
      <c r="G94" s="40" t="str">
        <f t="shared" si="19"/>
        <v/>
      </c>
      <c r="H94" s="258" t="str">
        <f t="shared" si="20"/>
        <v/>
      </c>
      <c r="I94" s="258" t="str">
        <f t="shared" si="10"/>
        <v/>
      </c>
      <c r="J94" s="40"/>
      <c r="K94" s="65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</row>
    <row r="95" spans="1:30" ht="16.5">
      <c r="A95" s="40"/>
      <c r="B95" s="70"/>
      <c r="C95" s="53"/>
      <c r="G95" s="40"/>
      <c r="H95" s="40"/>
      <c r="I95" s="40"/>
      <c r="J95" s="40"/>
      <c r="K95" s="40"/>
      <c r="L95" s="67"/>
      <c r="M95" s="40"/>
      <c r="N95" s="40"/>
      <c r="O95" s="40"/>
      <c r="P95" s="40"/>
      <c r="Q95" s="40"/>
      <c r="R95" s="40"/>
      <c r="S95" s="40"/>
      <c r="T95" s="40"/>
      <c r="U95" s="40"/>
      <c r="V95" s="67"/>
      <c r="W95" s="40"/>
      <c r="Z95" s="171"/>
    </row>
    <row r="96" spans="1:30" ht="16.5">
      <c r="A96" s="40"/>
      <c r="B96" s="70"/>
      <c r="C96" s="40"/>
      <c r="G96" s="40"/>
      <c r="H96" s="40"/>
      <c r="I96" s="40"/>
      <c r="J96" s="40"/>
      <c r="K96" s="40"/>
      <c r="L96" s="40"/>
      <c r="M96" s="40"/>
      <c r="N96" s="40"/>
      <c r="O96" s="40"/>
      <c r="P96" s="67">
        <v>0.92</v>
      </c>
      <c r="Q96" s="67">
        <v>1.08</v>
      </c>
      <c r="R96" s="40"/>
      <c r="S96" s="40"/>
      <c r="T96" s="40"/>
      <c r="U96" s="40"/>
      <c r="V96" s="40"/>
      <c r="W96" s="40"/>
    </row>
    <row r="97" spans="1:25" ht="16.5">
      <c r="A97" s="40"/>
      <c r="B97" s="67"/>
      <c r="C97" s="72"/>
      <c r="D97" s="61"/>
      <c r="E97" s="61" t="s">
        <v>242</v>
      </c>
      <c r="F97" s="60" t="s">
        <v>161</v>
      </c>
      <c r="G97" s="40"/>
      <c r="H97" s="61" t="s">
        <v>34</v>
      </c>
      <c r="I97" s="61"/>
      <c r="J97" s="61"/>
      <c r="K97" s="61" t="str">
        <f>HLOOKUP(Selector!$C$6,Calculation!L$75:AD$94,2,FALSE)</f>
        <v>4000K,80Min</v>
      </c>
      <c r="L97" s="61" t="s">
        <v>35</v>
      </c>
      <c r="M97" s="61" t="s">
        <v>36</v>
      </c>
      <c r="N97" s="73" t="s">
        <v>37</v>
      </c>
      <c r="O97" s="61" t="s">
        <v>54</v>
      </c>
      <c r="P97" s="74" t="s">
        <v>51</v>
      </c>
      <c r="Q97" s="74" t="s">
        <v>53</v>
      </c>
      <c r="R97" s="75" t="s">
        <v>38</v>
      </c>
      <c r="S97" s="73" t="s">
        <v>21</v>
      </c>
      <c r="T97" s="73"/>
      <c r="U97" s="73" t="s">
        <v>15</v>
      </c>
      <c r="V97" s="61" t="s">
        <v>39</v>
      </c>
      <c r="W97" s="61" t="s">
        <v>72</v>
      </c>
      <c r="X97" s="73" t="s">
        <v>40</v>
      </c>
      <c r="Y97" s="40"/>
    </row>
    <row r="98" spans="1:25" ht="16.5">
      <c r="A98" s="40"/>
      <c r="B98" s="67"/>
      <c r="C98" s="72"/>
      <c r="D98" s="61" t="str">
        <f>CONCATENATE("lm(%,@",ROUNDDOWN(E100,0),"C)")</f>
        <v>lm(%,@25C)</v>
      </c>
      <c r="E98" s="270">
        <f>F66*$E$100^3+F67*$E$100^2+F68*$E$100+F69</f>
        <v>0.99999999998665889</v>
      </c>
      <c r="F98" s="273">
        <f>F72*$F$100^3+F73*$F$100^2+F74*$F$100+F75</f>
        <v>1</v>
      </c>
      <c r="G98" s="40"/>
      <c r="H98" s="259">
        <f>K98/G77</f>
        <v>73.518169369430296</v>
      </c>
      <c r="I98" s="61"/>
      <c r="J98" s="61" t="str">
        <f>J77</f>
        <v>CLU7B2</v>
      </c>
      <c r="K98" s="275">
        <f>HLOOKUP(Selector!$C$6,Calculation!L$75:AD$94,3,FALSE)</f>
        <v>514.62718558601205</v>
      </c>
      <c r="L98" s="276">
        <f t="shared" ref="L98:L115" si="21">E$101/K98</f>
        <v>0.29147313667697988</v>
      </c>
      <c r="M98" s="259">
        <f>D$66*$L98^3+D$67*$L98^2+D$68*$L98+D$69</f>
        <v>45.003033339981229</v>
      </c>
      <c r="N98" s="277">
        <f>M98*I77</f>
        <v>45.003033339981229</v>
      </c>
      <c r="O98" s="260">
        <f>(E$66*$M98^2+E$67*$M98+E$68)*K77</f>
        <v>19.345090019384383</v>
      </c>
      <c r="P98" s="278">
        <f>O98*$P$96</f>
        <v>17.797482817833632</v>
      </c>
      <c r="Q98" s="278">
        <f>O98*$Q$96</f>
        <v>20.892697220935133</v>
      </c>
      <c r="R98" s="279">
        <f xml:space="preserve"> (G$66*$E$100^2+G$67*$E$100+G$68)*O98</f>
        <v>19.345090018985129</v>
      </c>
      <c r="S98" s="277">
        <f t="shared" ref="S98:S99" si="22">N98*R98/1000</f>
        <v>0.87058773108932586</v>
      </c>
      <c r="T98" s="277"/>
      <c r="U98" s="277">
        <f>E$99/S98</f>
        <v>172.29739708405032</v>
      </c>
      <c r="V98" s="280">
        <f>Tcスペック算出!G11</f>
        <v>5.4</v>
      </c>
      <c r="W98" s="259">
        <f>S98*V98</f>
        <v>4.7011737478823603</v>
      </c>
      <c r="X98" s="277">
        <f>IFERROR(E$100+W98,FALSE)</f>
        <v>29.701173747882361</v>
      </c>
      <c r="Y98" s="40"/>
    </row>
    <row r="99" spans="1:25" ht="16.5">
      <c r="A99" s="40"/>
      <c r="B99" s="67"/>
      <c r="C99" s="72"/>
      <c r="D99" s="61" t="s">
        <v>16</v>
      </c>
      <c r="E99" s="271">
        <f>Selector!G6</f>
        <v>150</v>
      </c>
      <c r="F99" s="274">
        <f>Selector!G6</f>
        <v>150</v>
      </c>
      <c r="G99" s="40"/>
      <c r="H99" s="259">
        <f t="shared" ref="H99:H115" si="23">K99/G78</f>
        <v>73.982179422642261</v>
      </c>
      <c r="I99" s="61"/>
      <c r="J99" s="61" t="str">
        <f t="shared" ref="J99:J115" si="24">J78</f>
        <v>CLU7A2</v>
      </c>
      <c r="K99" s="275">
        <f>HLOOKUP(Selector!$C$6,Calculation!L$75:AD$94,4,FALSE)</f>
        <v>887.78615307170719</v>
      </c>
      <c r="L99" s="276">
        <f t="shared" si="21"/>
        <v>0.16895960753950343</v>
      </c>
      <c r="M99" s="259">
        <f>D$72*$L99^3+D$73*$L99^2+D$74*$L99+D$75</f>
        <v>25.622619744329633</v>
      </c>
      <c r="N99" s="277">
        <f>M99*I78</f>
        <v>76.867859232988906</v>
      </c>
      <c r="O99" s="260">
        <f>(E$72*$M99^2+E$73*$M99+E$74)*K78</f>
        <v>10.888542945350713</v>
      </c>
      <c r="P99" s="278">
        <f t="shared" ref="P99" si="25">O99*$P$96</f>
        <v>10.017459509722656</v>
      </c>
      <c r="Q99" s="278">
        <f t="shared" ref="Q99" si="26">O99*$Q$96</f>
        <v>11.759626380978771</v>
      </c>
      <c r="R99" s="279">
        <f xml:space="preserve"> (G$72*$E$100^2+G$73*$E$100+G$74)*O99</f>
        <v>10.888542945350709</v>
      </c>
      <c r="S99" s="277">
        <f t="shared" si="22"/>
        <v>0.83697898637557278</v>
      </c>
      <c r="T99" s="277"/>
      <c r="U99" s="277">
        <f>E$99/S99</f>
        <v>179.21596890927361</v>
      </c>
      <c r="V99" s="280">
        <f>Tcスペック算出!G16</f>
        <v>3</v>
      </c>
      <c r="W99" s="259">
        <f t="shared" ref="W99" si="27">S99*V99</f>
        <v>2.5109369591267185</v>
      </c>
      <c r="X99" s="277">
        <f>IFERROR(E$100+W99,FALSE)</f>
        <v>27.510936959126717</v>
      </c>
      <c r="Y99" s="40"/>
    </row>
    <row r="100" spans="1:25" ht="16.5">
      <c r="A100" s="40"/>
      <c r="B100" s="67"/>
      <c r="C100" s="72"/>
      <c r="D100" s="61" t="s">
        <v>32</v>
      </c>
      <c r="E100" s="272">
        <f>Selector!L6</f>
        <v>25</v>
      </c>
      <c r="F100" s="207">
        <f>Selector!L6</f>
        <v>25</v>
      </c>
      <c r="G100" s="40"/>
      <c r="H100" s="259">
        <f t="shared" si="23"/>
        <v>73.982179422642261</v>
      </c>
      <c r="I100" s="61"/>
      <c r="J100" s="61" t="str">
        <f t="shared" si="24"/>
        <v>CLU7A2</v>
      </c>
      <c r="K100" s="275">
        <f>HLOOKUP(Selector!$C$6,Calculation!L$75:AD$94,5,FALSE)</f>
        <v>887.78615307170719</v>
      </c>
      <c r="L100" s="276">
        <f t="shared" si="21"/>
        <v>0.16895960753950343</v>
      </c>
      <c r="M100" s="259">
        <f>D$72*$L100^3+D$73*$L100^2+D$74*$L100+D$75</f>
        <v>25.622619744329633</v>
      </c>
      <c r="N100" s="277">
        <f>M100*I79</f>
        <v>25.622619744329633</v>
      </c>
      <c r="O100" s="260">
        <f>(E$72*$M100^2+E$73*$M100+E$74)*K79</f>
        <v>32.665628836052143</v>
      </c>
      <c r="P100" s="278">
        <f t="shared" ref="P100:P115" si="28">O100*$P$96</f>
        <v>30.052378529167974</v>
      </c>
      <c r="Q100" s="278">
        <f t="shared" ref="Q100:Q115" si="29">O100*$Q$96</f>
        <v>35.278879142936319</v>
      </c>
      <c r="R100" s="279">
        <f xml:space="preserve"> (G$72*$E$100^2+G$73*$E$100+G$74)*O100</f>
        <v>32.665628836052129</v>
      </c>
      <c r="S100" s="277">
        <f t="shared" ref="S100:S115" si="30">N100*R100/1000</f>
        <v>0.83697898637557278</v>
      </c>
      <c r="T100" s="277"/>
      <c r="U100" s="277">
        <f>E$99/S100</f>
        <v>179.21596890927361</v>
      </c>
      <c r="V100" s="280">
        <f>Tcスペック算出!G12</f>
        <v>3</v>
      </c>
      <c r="W100" s="259">
        <f t="shared" ref="W100:W115" si="31">S100*V100</f>
        <v>2.5109369591267185</v>
      </c>
      <c r="X100" s="277">
        <f>IFERROR(E$100+W100,FALSE)</f>
        <v>27.510936959126717</v>
      </c>
      <c r="Y100" s="40"/>
    </row>
    <row r="101" spans="1:25" ht="16.5">
      <c r="A101" s="60"/>
      <c r="B101" s="60"/>
      <c r="C101" s="60"/>
      <c r="D101" s="61" t="s">
        <v>33</v>
      </c>
      <c r="E101" s="272">
        <f>E99/E98</f>
        <v>150.00000000200117</v>
      </c>
      <c r="F101" s="272">
        <f>F99/F98</f>
        <v>150</v>
      </c>
      <c r="H101" s="259">
        <f t="shared" si="23"/>
        <v>74.75795229958338</v>
      </c>
      <c r="I101" s="61"/>
      <c r="J101" s="61" t="str">
        <f t="shared" si="24"/>
        <v>CLU702</v>
      </c>
      <c r="K101" s="275">
        <f>HLOOKUP(Selector!$C$6,Calculation!L$75:AD$94,6,FALSE)</f>
        <v>1794.1908551900012</v>
      </c>
      <c r="L101" s="276">
        <f t="shared" si="21"/>
        <v>8.3603145990907679E-2</v>
      </c>
      <c r="M101" s="259">
        <f>D$72*$L101^3+D$73*$L101^2+D$74*$L101+D$75</f>
        <v>11.979445402718369</v>
      </c>
      <c r="N101" s="277">
        <f>M101*I80</f>
        <v>23.958890805436738</v>
      </c>
      <c r="O101" s="260">
        <f>(E$72*$M101^2+E$73*$M101+E$74)*K80</f>
        <v>32.248516197025559</v>
      </c>
      <c r="P101" s="278">
        <f t="shared" si="28"/>
        <v>29.668634901263516</v>
      </c>
      <c r="Q101" s="278">
        <f t="shared" si="29"/>
        <v>34.828397492787609</v>
      </c>
      <c r="R101" s="279">
        <f xml:space="preserve"> (G$72*$E$100^2+G$73*$E$100+G$74)*O101</f>
        <v>32.248516197025545</v>
      </c>
      <c r="S101" s="277">
        <f t="shared" si="30"/>
        <v>0.77263867820189303</v>
      </c>
      <c r="T101" s="277"/>
      <c r="U101" s="277">
        <f>E$99/S101</f>
        <v>194.13990553654952</v>
      </c>
      <c r="V101" s="280">
        <f>Tcスペック算出!G13</f>
        <v>1.6</v>
      </c>
      <c r="W101" s="259">
        <f t="shared" si="31"/>
        <v>1.2362218851230289</v>
      </c>
      <c r="X101" s="277">
        <f>IFERROR(E$100+W101,FALSE)</f>
        <v>26.23622188512303</v>
      </c>
      <c r="Y101" s="40"/>
    </row>
    <row r="102" spans="1:25" ht="16.5">
      <c r="A102" s="61"/>
      <c r="B102" s="78"/>
      <c r="C102" s="78"/>
      <c r="D102" s="78"/>
      <c r="E102" s="78"/>
      <c r="F102" s="78"/>
      <c r="H102" s="259">
        <f t="shared" si="23"/>
        <v>75.339093828926693</v>
      </c>
      <c r="I102" s="61"/>
      <c r="J102" s="61" t="str">
        <f t="shared" si="24"/>
        <v>CLU712</v>
      </c>
      <c r="K102" s="275">
        <f>HLOOKUP(Selector!$C$6,Calculation!L$75:AD$94,7,FALSE)</f>
        <v>3616.2765037884815</v>
      </c>
      <c r="L102" s="276">
        <f t="shared" si="21"/>
        <v>4.1479129111078275E-2</v>
      </c>
      <c r="M102" s="259">
        <f t="shared" ref="M102:M115" si="32">D$72*$L102^3+D$73*$L102^2+D$74*$L102+D$75</f>
        <v>5.3101879002091072</v>
      </c>
      <c r="N102" s="277">
        <f t="shared" ref="N102:N115" si="33">M102*I81</f>
        <v>21.240751600836429</v>
      </c>
      <c r="O102" s="260">
        <f t="shared" ref="O102:O115" si="34">(E$72*$M102^2+E$73*$M102+E$74)*K81</f>
        <v>32.004178086766572</v>
      </c>
      <c r="P102" s="278">
        <f t="shared" si="28"/>
        <v>29.443843839825249</v>
      </c>
      <c r="Q102" s="278">
        <f t="shared" si="29"/>
        <v>34.564512333707903</v>
      </c>
      <c r="R102" s="279">
        <f t="shared" ref="R102:R115" si="35" xml:space="preserve"> (G$72*$E$100^2+G$73*$E$100+G$74)*O102</f>
        <v>32.004178086766558</v>
      </c>
      <c r="S102" s="277">
        <f t="shared" si="30"/>
        <v>0.67979279692994088</v>
      </c>
      <c r="T102" s="277"/>
      <c r="U102" s="277">
        <f t="shared" ref="U102:U115" si="36">E$99/S102</f>
        <v>220.65547131041302</v>
      </c>
      <c r="V102" s="685">
        <f>Tcスペック算出!G14</f>
        <v>0.91</v>
      </c>
      <c r="W102" s="259">
        <f t="shared" si="31"/>
        <v>0.61861144520624622</v>
      </c>
      <c r="X102" s="277">
        <f t="shared" ref="X102:X115" si="37">IFERROR(E$100+W102,FALSE)</f>
        <v>25.618611445206245</v>
      </c>
      <c r="Y102" s="40"/>
    </row>
    <row r="103" spans="1:25" ht="16.5">
      <c r="A103" s="61"/>
      <c r="B103" s="78"/>
      <c r="C103" s="78"/>
      <c r="D103" s="78"/>
      <c r="E103" s="78"/>
      <c r="F103" s="78"/>
      <c r="H103" s="259" t="e">
        <f t="shared" si="23"/>
        <v>#VALUE!</v>
      </c>
      <c r="I103" s="61"/>
      <c r="J103" s="61">
        <f t="shared" si="24"/>
        <v>0</v>
      </c>
      <c r="K103" s="275">
        <f>HLOOKUP(Selector!$C$6,Calculation!L$75:AD$94,8,FALSE)</f>
        <v>0</v>
      </c>
      <c r="L103" s="276" t="e">
        <f t="shared" si="21"/>
        <v>#DIV/0!</v>
      </c>
      <c r="M103" s="259" t="e">
        <f t="shared" si="32"/>
        <v>#DIV/0!</v>
      </c>
      <c r="N103" s="277" t="e">
        <f t="shared" si="33"/>
        <v>#DIV/0!</v>
      </c>
      <c r="O103" s="260" t="e">
        <f t="shared" si="34"/>
        <v>#DIV/0!</v>
      </c>
      <c r="P103" s="278" t="e">
        <f t="shared" si="28"/>
        <v>#DIV/0!</v>
      </c>
      <c r="Q103" s="278" t="e">
        <f t="shared" si="29"/>
        <v>#DIV/0!</v>
      </c>
      <c r="R103" s="279" t="e">
        <f t="shared" si="35"/>
        <v>#DIV/0!</v>
      </c>
      <c r="S103" s="277" t="e">
        <f t="shared" si="30"/>
        <v>#DIV/0!</v>
      </c>
      <c r="T103" s="277"/>
      <c r="U103" s="277" t="e">
        <f t="shared" si="36"/>
        <v>#DIV/0!</v>
      </c>
      <c r="V103" s="280"/>
      <c r="W103" s="259" t="e">
        <f t="shared" si="31"/>
        <v>#DIV/0!</v>
      </c>
      <c r="X103" s="277" t="b">
        <f t="shared" si="37"/>
        <v>0</v>
      </c>
      <c r="Y103" s="40"/>
    </row>
    <row r="104" spans="1:25" ht="16.5">
      <c r="A104" s="61"/>
      <c r="B104" s="78"/>
      <c r="C104" s="78"/>
      <c r="D104" s="78"/>
      <c r="E104" s="78"/>
      <c r="F104" s="78"/>
      <c r="H104" s="259" t="e">
        <f>K104/#REF!</f>
        <v>#REF!</v>
      </c>
      <c r="I104" s="61"/>
      <c r="J104" s="61">
        <f t="shared" si="24"/>
        <v>0</v>
      </c>
      <c r="K104" s="275">
        <f>HLOOKUP(Selector!$C$6,Calculation!L$75:AD$94,9,FALSE)</f>
        <v>0</v>
      </c>
      <c r="L104" s="276" t="e">
        <f t="shared" si="21"/>
        <v>#DIV/0!</v>
      </c>
      <c r="M104" s="259" t="e">
        <f t="shared" si="32"/>
        <v>#DIV/0!</v>
      </c>
      <c r="N104" s="277" t="e">
        <f t="shared" si="33"/>
        <v>#DIV/0!</v>
      </c>
      <c r="O104" s="260" t="e">
        <f t="shared" si="34"/>
        <v>#DIV/0!</v>
      </c>
      <c r="P104" s="278" t="e">
        <f t="shared" si="28"/>
        <v>#DIV/0!</v>
      </c>
      <c r="Q104" s="278" t="e">
        <f t="shared" si="29"/>
        <v>#DIV/0!</v>
      </c>
      <c r="R104" s="279" t="e">
        <f t="shared" si="35"/>
        <v>#DIV/0!</v>
      </c>
      <c r="S104" s="277" t="e">
        <f t="shared" si="30"/>
        <v>#DIV/0!</v>
      </c>
      <c r="T104" s="277"/>
      <c r="U104" s="277" t="e">
        <f t="shared" si="36"/>
        <v>#DIV/0!</v>
      </c>
      <c r="V104" s="280"/>
      <c r="W104" s="259" t="e">
        <f t="shared" si="31"/>
        <v>#DIV/0!</v>
      </c>
      <c r="X104" s="277" t="b">
        <f t="shared" si="37"/>
        <v>0</v>
      </c>
      <c r="Y104" s="40"/>
    </row>
    <row r="105" spans="1:25" ht="16.5">
      <c r="A105" s="61"/>
      <c r="B105" s="78"/>
      <c r="C105" s="78"/>
      <c r="D105" s="78"/>
      <c r="E105" s="78"/>
      <c r="F105" s="78"/>
      <c r="H105" s="259" t="e">
        <f>K105/#REF!</f>
        <v>#REF!</v>
      </c>
      <c r="I105" s="61"/>
      <c r="J105" s="61">
        <f t="shared" si="24"/>
        <v>0</v>
      </c>
      <c r="K105" s="275">
        <f>HLOOKUP(Selector!$C$6,Calculation!L$75:AD$94,10,FALSE)</f>
        <v>0</v>
      </c>
      <c r="L105" s="276" t="e">
        <f t="shared" si="21"/>
        <v>#DIV/0!</v>
      </c>
      <c r="M105" s="259" t="e">
        <f t="shared" si="32"/>
        <v>#DIV/0!</v>
      </c>
      <c r="N105" s="277" t="e">
        <f t="shared" si="33"/>
        <v>#DIV/0!</v>
      </c>
      <c r="O105" s="260" t="e">
        <f t="shared" si="34"/>
        <v>#DIV/0!</v>
      </c>
      <c r="P105" s="278" t="e">
        <f t="shared" si="28"/>
        <v>#DIV/0!</v>
      </c>
      <c r="Q105" s="278" t="e">
        <f t="shared" si="29"/>
        <v>#DIV/0!</v>
      </c>
      <c r="R105" s="279" t="e">
        <f t="shared" si="35"/>
        <v>#DIV/0!</v>
      </c>
      <c r="S105" s="277" t="e">
        <f t="shared" si="30"/>
        <v>#DIV/0!</v>
      </c>
      <c r="T105" s="277"/>
      <c r="U105" s="277" t="e">
        <f t="shared" si="36"/>
        <v>#DIV/0!</v>
      </c>
      <c r="V105" s="280"/>
      <c r="W105" s="259" t="e">
        <f t="shared" si="31"/>
        <v>#DIV/0!</v>
      </c>
      <c r="X105" s="277" t="b">
        <f t="shared" si="37"/>
        <v>0</v>
      </c>
      <c r="Y105" s="40"/>
    </row>
    <row r="106" spans="1:25" ht="16.5">
      <c r="A106" s="61"/>
      <c r="B106" s="78"/>
      <c r="C106" s="78"/>
      <c r="D106" s="40"/>
      <c r="E106" s="40"/>
      <c r="H106" s="259" t="e">
        <f>K106/#REF!</f>
        <v>#REF!</v>
      </c>
      <c r="I106" s="61"/>
      <c r="J106" s="61">
        <f t="shared" si="24"/>
        <v>0</v>
      </c>
      <c r="K106" s="275">
        <f>HLOOKUP(Selector!$C$6,Calculation!L$75:AD$94,11,FALSE)</f>
        <v>0</v>
      </c>
      <c r="L106" s="276" t="e">
        <f t="shared" si="21"/>
        <v>#DIV/0!</v>
      </c>
      <c r="M106" s="259" t="e">
        <f t="shared" si="32"/>
        <v>#DIV/0!</v>
      </c>
      <c r="N106" s="277" t="e">
        <f t="shared" si="33"/>
        <v>#DIV/0!</v>
      </c>
      <c r="O106" s="260" t="e">
        <f t="shared" si="34"/>
        <v>#DIV/0!</v>
      </c>
      <c r="P106" s="278" t="e">
        <f t="shared" si="28"/>
        <v>#DIV/0!</v>
      </c>
      <c r="Q106" s="278" t="e">
        <f t="shared" si="29"/>
        <v>#DIV/0!</v>
      </c>
      <c r="R106" s="279" t="e">
        <f t="shared" si="35"/>
        <v>#DIV/0!</v>
      </c>
      <c r="S106" s="277" t="e">
        <f t="shared" si="30"/>
        <v>#DIV/0!</v>
      </c>
      <c r="T106" s="277"/>
      <c r="U106" s="277" t="e">
        <f t="shared" si="36"/>
        <v>#DIV/0!</v>
      </c>
      <c r="V106" s="280"/>
      <c r="W106" s="259" t="e">
        <f t="shared" si="31"/>
        <v>#DIV/0!</v>
      </c>
      <c r="X106" s="277" t="b">
        <f t="shared" si="37"/>
        <v>0</v>
      </c>
      <c r="Y106" s="40"/>
    </row>
    <row r="107" spans="1:25" ht="16.5">
      <c r="A107" s="40"/>
      <c r="B107" s="79"/>
      <c r="C107" s="79"/>
      <c r="D107" s="40"/>
      <c r="E107" s="40"/>
      <c r="H107" s="259" t="e">
        <f>K107/#REF!</f>
        <v>#REF!</v>
      </c>
      <c r="I107" s="61"/>
      <c r="J107" s="61">
        <f t="shared" si="24"/>
        <v>0</v>
      </c>
      <c r="K107" s="275">
        <f>HLOOKUP(Selector!$C$6,Calculation!L$75:AD$94,12,FALSE)</f>
        <v>0</v>
      </c>
      <c r="L107" s="276" t="e">
        <f t="shared" si="21"/>
        <v>#DIV/0!</v>
      </c>
      <c r="M107" s="259" t="e">
        <f t="shared" si="32"/>
        <v>#DIV/0!</v>
      </c>
      <c r="N107" s="277" t="e">
        <f t="shared" si="33"/>
        <v>#DIV/0!</v>
      </c>
      <c r="O107" s="260" t="e">
        <f t="shared" si="34"/>
        <v>#DIV/0!</v>
      </c>
      <c r="P107" s="278" t="e">
        <f t="shared" si="28"/>
        <v>#DIV/0!</v>
      </c>
      <c r="Q107" s="278" t="e">
        <f t="shared" si="29"/>
        <v>#DIV/0!</v>
      </c>
      <c r="R107" s="279" t="e">
        <f t="shared" si="35"/>
        <v>#DIV/0!</v>
      </c>
      <c r="S107" s="277" t="e">
        <f t="shared" si="30"/>
        <v>#DIV/0!</v>
      </c>
      <c r="T107" s="277"/>
      <c r="U107" s="277" t="e">
        <f t="shared" si="36"/>
        <v>#DIV/0!</v>
      </c>
      <c r="V107" s="280"/>
      <c r="W107" s="259" t="e">
        <f t="shared" si="31"/>
        <v>#DIV/0!</v>
      </c>
      <c r="X107" s="277" t="b">
        <f t="shared" si="37"/>
        <v>0</v>
      </c>
      <c r="Y107" s="40"/>
    </row>
    <row r="108" spans="1:25" ht="16.5">
      <c r="A108" s="40"/>
      <c r="B108" s="80"/>
      <c r="C108" s="81"/>
      <c r="D108" s="40"/>
      <c r="E108" s="82"/>
      <c r="H108" s="259" t="e">
        <f>K108/#REF!</f>
        <v>#REF!</v>
      </c>
      <c r="I108" s="61"/>
      <c r="J108" s="61">
        <f t="shared" si="24"/>
        <v>0</v>
      </c>
      <c r="K108" s="275">
        <f>HLOOKUP(Selector!$C$6,Calculation!L$75:AD$94,13,FALSE)</f>
        <v>0</v>
      </c>
      <c r="L108" s="276" t="e">
        <f t="shared" si="21"/>
        <v>#DIV/0!</v>
      </c>
      <c r="M108" s="259" t="e">
        <f t="shared" si="32"/>
        <v>#DIV/0!</v>
      </c>
      <c r="N108" s="277" t="e">
        <f t="shared" si="33"/>
        <v>#DIV/0!</v>
      </c>
      <c r="O108" s="260" t="e">
        <f t="shared" si="34"/>
        <v>#DIV/0!</v>
      </c>
      <c r="P108" s="278" t="e">
        <f t="shared" si="28"/>
        <v>#DIV/0!</v>
      </c>
      <c r="Q108" s="278" t="e">
        <f t="shared" si="29"/>
        <v>#DIV/0!</v>
      </c>
      <c r="R108" s="279" t="e">
        <f t="shared" si="35"/>
        <v>#DIV/0!</v>
      </c>
      <c r="S108" s="277" t="e">
        <f t="shared" si="30"/>
        <v>#DIV/0!</v>
      </c>
      <c r="T108" s="277"/>
      <c r="U108" s="277" t="e">
        <f t="shared" si="36"/>
        <v>#DIV/0!</v>
      </c>
      <c r="V108" s="280"/>
      <c r="W108" s="259" t="e">
        <f t="shared" si="31"/>
        <v>#DIV/0!</v>
      </c>
      <c r="X108" s="277" t="b">
        <f t="shared" si="37"/>
        <v>0</v>
      </c>
      <c r="Y108" s="40"/>
    </row>
    <row r="109" spans="1:25" ht="16.5">
      <c r="A109" s="40"/>
      <c r="B109" s="40"/>
      <c r="C109" s="40"/>
      <c r="D109" s="40"/>
      <c r="E109" s="40"/>
      <c r="H109" s="259" t="e">
        <f t="shared" si="23"/>
        <v>#VALUE!</v>
      </c>
      <c r="I109" s="61"/>
      <c r="J109" s="61">
        <f t="shared" si="24"/>
        <v>0</v>
      </c>
      <c r="K109" s="275">
        <f>HLOOKUP(Selector!$C$6,Calculation!L$75:AD$94,14,FALSE)</f>
        <v>0</v>
      </c>
      <c r="L109" s="276" t="e">
        <f t="shared" si="21"/>
        <v>#DIV/0!</v>
      </c>
      <c r="M109" s="259" t="e">
        <f t="shared" si="32"/>
        <v>#DIV/0!</v>
      </c>
      <c r="N109" s="277" t="e">
        <f t="shared" si="33"/>
        <v>#DIV/0!</v>
      </c>
      <c r="O109" s="260" t="e">
        <f t="shared" si="34"/>
        <v>#DIV/0!</v>
      </c>
      <c r="P109" s="278" t="e">
        <f t="shared" si="28"/>
        <v>#DIV/0!</v>
      </c>
      <c r="Q109" s="278" t="e">
        <f t="shared" si="29"/>
        <v>#DIV/0!</v>
      </c>
      <c r="R109" s="279" t="e">
        <f t="shared" si="35"/>
        <v>#DIV/0!</v>
      </c>
      <c r="S109" s="277" t="e">
        <f t="shared" si="30"/>
        <v>#DIV/0!</v>
      </c>
      <c r="T109" s="277"/>
      <c r="U109" s="277" t="e">
        <f t="shared" si="36"/>
        <v>#DIV/0!</v>
      </c>
      <c r="V109" s="280"/>
      <c r="W109" s="259" t="e">
        <f t="shared" si="31"/>
        <v>#DIV/0!</v>
      </c>
      <c r="X109" s="277" t="b">
        <f t="shared" si="37"/>
        <v>0</v>
      </c>
      <c r="Y109" s="40"/>
    </row>
    <row r="110" spans="1:25" ht="16.5">
      <c r="A110" s="40"/>
      <c r="B110" s="40"/>
      <c r="C110" s="40"/>
      <c r="D110" s="40"/>
      <c r="E110" s="40"/>
      <c r="H110" s="259" t="e">
        <f t="shared" si="23"/>
        <v>#VALUE!</v>
      </c>
      <c r="I110" s="61"/>
      <c r="J110" s="61">
        <f t="shared" si="24"/>
        <v>0</v>
      </c>
      <c r="K110" s="275">
        <f>HLOOKUP(Selector!$C$6,Calculation!L$75:AD$94,15,FALSE)</f>
        <v>0</v>
      </c>
      <c r="L110" s="276" t="e">
        <f t="shared" si="21"/>
        <v>#DIV/0!</v>
      </c>
      <c r="M110" s="259" t="e">
        <f t="shared" si="32"/>
        <v>#DIV/0!</v>
      </c>
      <c r="N110" s="277" t="e">
        <f t="shared" si="33"/>
        <v>#DIV/0!</v>
      </c>
      <c r="O110" s="260" t="e">
        <f t="shared" si="34"/>
        <v>#DIV/0!</v>
      </c>
      <c r="P110" s="278" t="e">
        <f t="shared" si="28"/>
        <v>#DIV/0!</v>
      </c>
      <c r="Q110" s="278" t="e">
        <f t="shared" si="29"/>
        <v>#DIV/0!</v>
      </c>
      <c r="R110" s="279" t="e">
        <f t="shared" si="35"/>
        <v>#DIV/0!</v>
      </c>
      <c r="S110" s="277" t="e">
        <f t="shared" si="30"/>
        <v>#DIV/0!</v>
      </c>
      <c r="T110" s="277"/>
      <c r="U110" s="277" t="e">
        <f t="shared" si="36"/>
        <v>#DIV/0!</v>
      </c>
      <c r="V110" s="280"/>
      <c r="W110" s="259" t="e">
        <f t="shared" si="31"/>
        <v>#DIV/0!</v>
      </c>
      <c r="X110" s="277" t="b">
        <f t="shared" si="37"/>
        <v>0</v>
      </c>
      <c r="Y110" s="40"/>
    </row>
    <row r="111" spans="1:25" ht="16.5">
      <c r="A111" s="40"/>
      <c r="B111" s="40"/>
      <c r="C111" s="40"/>
      <c r="D111" s="40"/>
      <c r="E111" s="40"/>
      <c r="H111" s="259" t="e">
        <f t="shared" si="23"/>
        <v>#VALUE!</v>
      </c>
      <c r="I111" s="61"/>
      <c r="J111" s="61">
        <f t="shared" si="24"/>
        <v>0</v>
      </c>
      <c r="K111" s="275">
        <f>HLOOKUP(Selector!$C$6,Calculation!L$75:AD$94,16,FALSE)</f>
        <v>0</v>
      </c>
      <c r="L111" s="276" t="e">
        <f t="shared" si="21"/>
        <v>#DIV/0!</v>
      </c>
      <c r="M111" s="259" t="e">
        <f t="shared" si="32"/>
        <v>#DIV/0!</v>
      </c>
      <c r="N111" s="277" t="e">
        <f t="shared" si="33"/>
        <v>#DIV/0!</v>
      </c>
      <c r="O111" s="260" t="e">
        <f t="shared" si="34"/>
        <v>#DIV/0!</v>
      </c>
      <c r="P111" s="278" t="e">
        <f t="shared" si="28"/>
        <v>#DIV/0!</v>
      </c>
      <c r="Q111" s="278" t="e">
        <f t="shared" si="29"/>
        <v>#DIV/0!</v>
      </c>
      <c r="R111" s="279" t="e">
        <f t="shared" si="35"/>
        <v>#DIV/0!</v>
      </c>
      <c r="S111" s="277" t="e">
        <f t="shared" si="30"/>
        <v>#DIV/0!</v>
      </c>
      <c r="T111" s="277"/>
      <c r="U111" s="277" t="e">
        <f t="shared" si="36"/>
        <v>#DIV/0!</v>
      </c>
      <c r="V111" s="280"/>
      <c r="W111" s="259" t="e">
        <f t="shared" si="31"/>
        <v>#DIV/0!</v>
      </c>
      <c r="X111" s="277" t="b">
        <f t="shared" si="37"/>
        <v>0</v>
      </c>
      <c r="Y111" s="40"/>
    </row>
    <row r="112" spans="1:25" ht="16.5">
      <c r="A112" s="40"/>
      <c r="B112" s="40"/>
      <c r="C112" s="40"/>
      <c r="D112" s="40"/>
      <c r="E112" s="69"/>
      <c r="H112" s="259" t="e">
        <f t="shared" si="23"/>
        <v>#VALUE!</v>
      </c>
      <c r="I112" s="61"/>
      <c r="J112" s="61">
        <f t="shared" si="24"/>
        <v>0</v>
      </c>
      <c r="K112" s="275">
        <f>HLOOKUP(Selector!$C$6,Calculation!L$75:AD$94,17,FALSE)</f>
        <v>0</v>
      </c>
      <c r="L112" s="276" t="e">
        <f t="shared" si="21"/>
        <v>#DIV/0!</v>
      </c>
      <c r="M112" s="259" t="e">
        <f t="shared" si="32"/>
        <v>#DIV/0!</v>
      </c>
      <c r="N112" s="277" t="e">
        <f t="shared" si="33"/>
        <v>#DIV/0!</v>
      </c>
      <c r="O112" s="260" t="e">
        <f t="shared" si="34"/>
        <v>#DIV/0!</v>
      </c>
      <c r="P112" s="278" t="e">
        <f t="shared" si="28"/>
        <v>#DIV/0!</v>
      </c>
      <c r="Q112" s="278" t="e">
        <f t="shared" si="29"/>
        <v>#DIV/0!</v>
      </c>
      <c r="R112" s="279" t="e">
        <f t="shared" si="35"/>
        <v>#DIV/0!</v>
      </c>
      <c r="S112" s="277" t="e">
        <f t="shared" si="30"/>
        <v>#DIV/0!</v>
      </c>
      <c r="T112" s="277"/>
      <c r="U112" s="277" t="e">
        <f t="shared" si="36"/>
        <v>#DIV/0!</v>
      </c>
      <c r="V112" s="280"/>
      <c r="W112" s="259" t="e">
        <f t="shared" si="31"/>
        <v>#DIV/0!</v>
      </c>
      <c r="X112" s="277" t="b">
        <f t="shared" si="37"/>
        <v>0</v>
      </c>
      <c r="Y112" s="40"/>
    </row>
    <row r="113" spans="1:25" ht="16.5">
      <c r="A113" s="40"/>
      <c r="B113" s="66"/>
      <c r="C113" s="66"/>
      <c r="D113" s="40"/>
      <c r="E113" s="40"/>
      <c r="H113" s="259" t="e">
        <f t="shared" si="23"/>
        <v>#VALUE!</v>
      </c>
      <c r="I113" s="61"/>
      <c r="J113" s="61">
        <f t="shared" si="24"/>
        <v>0</v>
      </c>
      <c r="K113" s="275">
        <f>HLOOKUP(Selector!$C$6,Calculation!L$75:AD$94,18,FALSE)</f>
        <v>0</v>
      </c>
      <c r="L113" s="276" t="e">
        <f t="shared" si="21"/>
        <v>#DIV/0!</v>
      </c>
      <c r="M113" s="259" t="e">
        <f t="shared" si="32"/>
        <v>#DIV/0!</v>
      </c>
      <c r="N113" s="277" t="e">
        <f t="shared" si="33"/>
        <v>#DIV/0!</v>
      </c>
      <c r="O113" s="260" t="e">
        <f t="shared" si="34"/>
        <v>#DIV/0!</v>
      </c>
      <c r="P113" s="278" t="e">
        <f t="shared" si="28"/>
        <v>#DIV/0!</v>
      </c>
      <c r="Q113" s="278" t="e">
        <f t="shared" si="29"/>
        <v>#DIV/0!</v>
      </c>
      <c r="R113" s="279" t="e">
        <f t="shared" si="35"/>
        <v>#DIV/0!</v>
      </c>
      <c r="S113" s="277" t="e">
        <f t="shared" si="30"/>
        <v>#DIV/0!</v>
      </c>
      <c r="T113" s="277"/>
      <c r="U113" s="277" t="e">
        <f t="shared" si="36"/>
        <v>#DIV/0!</v>
      </c>
      <c r="V113" s="280"/>
      <c r="W113" s="259" t="e">
        <f t="shared" si="31"/>
        <v>#DIV/0!</v>
      </c>
      <c r="X113" s="277" t="b">
        <f t="shared" si="37"/>
        <v>0</v>
      </c>
      <c r="Y113" s="40"/>
    </row>
    <row r="114" spans="1:25" ht="16.5">
      <c r="A114" s="40"/>
      <c r="B114" s="70"/>
      <c r="C114" s="83"/>
      <c r="D114" s="40"/>
      <c r="E114" s="84"/>
      <c r="H114" s="259" t="e">
        <f t="shared" si="23"/>
        <v>#VALUE!</v>
      </c>
      <c r="I114" s="61"/>
      <c r="J114" s="61">
        <f t="shared" si="24"/>
        <v>0</v>
      </c>
      <c r="K114" s="275">
        <f>HLOOKUP(Selector!$C$6,Calculation!L$75:AD$94,19,FALSE)</f>
        <v>0</v>
      </c>
      <c r="L114" s="276" t="e">
        <f t="shared" si="21"/>
        <v>#DIV/0!</v>
      </c>
      <c r="M114" s="259" t="e">
        <f t="shared" si="32"/>
        <v>#DIV/0!</v>
      </c>
      <c r="N114" s="277" t="e">
        <f t="shared" si="33"/>
        <v>#DIV/0!</v>
      </c>
      <c r="O114" s="260" t="e">
        <f t="shared" si="34"/>
        <v>#DIV/0!</v>
      </c>
      <c r="P114" s="278" t="e">
        <f t="shared" si="28"/>
        <v>#DIV/0!</v>
      </c>
      <c r="Q114" s="278" t="e">
        <f t="shared" si="29"/>
        <v>#DIV/0!</v>
      </c>
      <c r="R114" s="279" t="e">
        <f t="shared" si="35"/>
        <v>#DIV/0!</v>
      </c>
      <c r="S114" s="277" t="e">
        <f t="shared" si="30"/>
        <v>#DIV/0!</v>
      </c>
      <c r="T114" s="277"/>
      <c r="U114" s="277" t="e">
        <f t="shared" si="36"/>
        <v>#DIV/0!</v>
      </c>
      <c r="V114" s="280"/>
      <c r="W114" s="259" t="e">
        <f t="shared" si="31"/>
        <v>#DIV/0!</v>
      </c>
      <c r="X114" s="277" t="b">
        <f t="shared" si="37"/>
        <v>0</v>
      </c>
      <c r="Y114" s="40"/>
    </row>
    <row r="115" spans="1:25" ht="16.5">
      <c r="A115" s="40"/>
      <c r="B115" s="67"/>
      <c r="C115" s="72"/>
      <c r="D115" s="40"/>
      <c r="E115" s="40"/>
      <c r="F115" s="40"/>
      <c r="G115" s="40"/>
      <c r="H115" s="259" t="e">
        <f t="shared" si="23"/>
        <v>#VALUE!</v>
      </c>
      <c r="I115" s="61"/>
      <c r="J115" s="61">
        <f t="shared" si="24"/>
        <v>0</v>
      </c>
      <c r="K115" s="275">
        <f>HLOOKUP(Selector!$C$6,Calculation!L$75:AD$94,20,FALSE)</f>
        <v>0</v>
      </c>
      <c r="L115" s="276" t="e">
        <f t="shared" si="21"/>
        <v>#DIV/0!</v>
      </c>
      <c r="M115" s="259" t="e">
        <f t="shared" si="32"/>
        <v>#DIV/0!</v>
      </c>
      <c r="N115" s="277" t="e">
        <f t="shared" si="33"/>
        <v>#DIV/0!</v>
      </c>
      <c r="O115" s="260" t="e">
        <f t="shared" si="34"/>
        <v>#DIV/0!</v>
      </c>
      <c r="P115" s="278" t="e">
        <f t="shared" si="28"/>
        <v>#DIV/0!</v>
      </c>
      <c r="Q115" s="278" t="e">
        <f t="shared" si="29"/>
        <v>#DIV/0!</v>
      </c>
      <c r="R115" s="279" t="e">
        <f t="shared" si="35"/>
        <v>#DIV/0!</v>
      </c>
      <c r="S115" s="277" t="e">
        <f t="shared" si="30"/>
        <v>#DIV/0!</v>
      </c>
      <c r="T115" s="277"/>
      <c r="U115" s="277" t="e">
        <f t="shared" si="36"/>
        <v>#DIV/0!</v>
      </c>
      <c r="V115" s="280"/>
      <c r="W115" s="259" t="e">
        <f t="shared" si="31"/>
        <v>#DIV/0!</v>
      </c>
      <c r="X115" s="277" t="b">
        <f t="shared" si="37"/>
        <v>0</v>
      </c>
    </row>
    <row r="116" spans="1:25" ht="16.5">
      <c r="A116" s="40"/>
      <c r="J116" s="40"/>
      <c r="K116" s="40"/>
      <c r="L116" s="40"/>
      <c r="M116" s="40"/>
      <c r="N116" s="40"/>
      <c r="O116" s="77"/>
      <c r="P116" s="73"/>
      <c r="Q116" s="46"/>
      <c r="R116" s="46"/>
      <c r="S116" s="46"/>
      <c r="T116" s="46"/>
      <c r="U116" s="40"/>
      <c r="V116" s="40"/>
      <c r="W116" s="40"/>
    </row>
    <row r="117" spans="1:25" ht="16.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77"/>
      <c r="P117" s="73"/>
      <c r="Q117" s="73"/>
      <c r="R117" s="73"/>
      <c r="S117" s="73"/>
      <c r="T117" s="73"/>
      <c r="U117" s="40"/>
      <c r="V117" s="40"/>
      <c r="W117" s="40"/>
    </row>
    <row r="118" spans="1:25" ht="16.5">
      <c r="A118" s="40"/>
      <c r="B118" s="40"/>
      <c r="C118" s="40"/>
      <c r="D118" s="40"/>
      <c r="E118" s="40"/>
      <c r="F118" s="40"/>
      <c r="G118" s="40"/>
      <c r="H118" s="40"/>
      <c r="J118" s="40"/>
      <c r="K118" s="40"/>
      <c r="L118" s="40"/>
      <c r="M118" s="40"/>
      <c r="N118" s="40"/>
      <c r="O118" s="77"/>
      <c r="P118" s="46"/>
      <c r="Q118" s="46"/>
      <c r="R118" s="46"/>
      <c r="S118" s="46"/>
      <c r="T118" s="46"/>
      <c r="U118" s="40"/>
      <c r="V118" s="40"/>
      <c r="W118" s="40"/>
    </row>
    <row r="119" spans="1:25" ht="16.5">
      <c r="A119" s="40"/>
      <c r="B119" s="40"/>
      <c r="I119" s="40" t="s">
        <v>73</v>
      </c>
      <c r="J119" s="40"/>
      <c r="K119" s="40"/>
      <c r="L119" s="70"/>
      <c r="M119" s="53"/>
      <c r="N119" s="40"/>
      <c r="O119" s="77"/>
      <c r="P119" s="46"/>
      <c r="Q119" s="73" t="s">
        <v>46</v>
      </c>
      <c r="R119" s="73" t="s">
        <v>4</v>
      </c>
      <c r="S119" s="73"/>
      <c r="T119" s="73"/>
      <c r="U119" s="73"/>
      <c r="V119" s="73" t="s">
        <v>5</v>
      </c>
      <c r="W119" s="73" t="s">
        <v>40</v>
      </c>
    </row>
    <row r="120" spans="1:25" ht="16.5">
      <c r="A120" s="40"/>
      <c r="B120" s="40"/>
      <c r="D120" s="40"/>
      <c r="E120" s="40"/>
      <c r="F120" s="40"/>
      <c r="G120" s="40"/>
      <c r="H120" s="40"/>
      <c r="I120" s="40" t="s">
        <v>74</v>
      </c>
      <c r="J120" s="40" t="s">
        <v>75</v>
      </c>
      <c r="K120" s="40" t="s">
        <v>47</v>
      </c>
      <c r="M120" s="53"/>
      <c r="N120" s="70" t="s">
        <v>26</v>
      </c>
      <c r="O120" s="77"/>
      <c r="P120" s="46"/>
      <c r="Q120" s="73" t="s">
        <v>3</v>
      </c>
      <c r="R120" s="73" t="s">
        <v>25</v>
      </c>
      <c r="S120" s="73"/>
      <c r="T120" s="73" t="s">
        <v>26</v>
      </c>
      <c r="U120" s="73" t="s">
        <v>41</v>
      </c>
      <c r="V120" s="73" t="s">
        <v>3</v>
      </c>
      <c r="W120" s="73" t="s">
        <v>42</v>
      </c>
    </row>
    <row r="121" spans="1:25" ht="16.5">
      <c r="A121" s="40"/>
      <c r="B121" s="40"/>
      <c r="C121" s="40"/>
      <c r="F121" s="40"/>
      <c r="G121" s="179"/>
      <c r="H121" s="40" t="str">
        <f t="shared" ref="H121:H138" si="38">B3</f>
        <v>CLU7B2</v>
      </c>
      <c r="I121" s="188">
        <f>'最大定格(信頼性) (3)'!G3</f>
        <v>-5.9999999999999911</v>
      </c>
      <c r="J121" s="188">
        <f>'最大定格(信頼性) (3)'!G4</f>
        <v>859.99999999999909</v>
      </c>
      <c r="K121" s="61"/>
      <c r="L121" s="259">
        <f t="shared" ref="L121:L138" si="39">$D$53*I77</f>
        <v>300</v>
      </c>
      <c r="M121" s="261">
        <f t="shared" ref="M121:M138" si="40">(I121*$E$100)+J121</f>
        <v>709.99999999999932</v>
      </c>
      <c r="N121" s="262">
        <f>IF(L121&gt;=M121,M121,L121)</f>
        <v>300</v>
      </c>
      <c r="O121" s="260">
        <f t="shared" ref="O121:O138" si="41">N121/I77</f>
        <v>300</v>
      </c>
      <c r="P121" s="61" t="str">
        <f t="shared" ref="P121:P138" si="42">J98</f>
        <v>CLU7B2</v>
      </c>
      <c r="Q121" s="46" t="b">
        <f t="shared" ref="Q121:Q138" si="43">AND(D$55&lt;=$E$100,C$55&gt;=$E$100)</f>
        <v>1</v>
      </c>
      <c r="R121" s="259">
        <f t="shared" ref="R121:R138" si="44">C$53*I77</f>
        <v>5</v>
      </c>
      <c r="S121" s="259"/>
      <c r="T121" s="259">
        <f>N121</f>
        <v>300</v>
      </c>
      <c r="U121" s="46" t="b">
        <f t="shared" ref="U121:U138" si="45">IFERROR(AND(Q121,R121&lt;=N98,T121&gt;=N98),FALSE)</f>
        <v>1</v>
      </c>
      <c r="V121" s="46" t="b">
        <f t="shared" ref="V121:V138" si="46">AND(Q121,D$57&lt;X98,C$57&gt;X98)</f>
        <v>1</v>
      </c>
      <c r="W121" s="46" t="b">
        <f>AND(U121,Q121,V121)</f>
        <v>1</v>
      </c>
    </row>
    <row r="122" spans="1:25" ht="16.5">
      <c r="A122" s="40"/>
      <c r="B122" s="40"/>
      <c r="C122" s="40"/>
      <c r="F122" s="40"/>
      <c r="G122" s="179"/>
      <c r="H122" s="40" t="str">
        <f t="shared" si="38"/>
        <v>CLU7A2</v>
      </c>
      <c r="I122" s="188">
        <f>'最大定格(信頼性) (3)'!BH4</f>
        <v>-17.999999999999972</v>
      </c>
      <c r="J122" s="188">
        <f>'最大定格(信頼性) (3)'!BH5</f>
        <v>2579.9999999999973</v>
      </c>
      <c r="K122" s="61"/>
      <c r="L122" s="259">
        <f t="shared" si="39"/>
        <v>900</v>
      </c>
      <c r="M122" s="261">
        <f t="shared" si="40"/>
        <v>2129.9999999999982</v>
      </c>
      <c r="N122" s="262">
        <f t="shared" ref="N122:N138" si="47">IF(L122&gt;=M122,M122,L122)</f>
        <v>900</v>
      </c>
      <c r="O122" s="260">
        <f t="shared" si="41"/>
        <v>300</v>
      </c>
      <c r="P122" s="61" t="str">
        <f t="shared" si="42"/>
        <v>CLU7A2</v>
      </c>
      <c r="Q122" s="46" t="b">
        <f t="shared" si="43"/>
        <v>1</v>
      </c>
      <c r="R122" s="259">
        <f t="shared" si="44"/>
        <v>15</v>
      </c>
      <c r="S122" s="259"/>
      <c r="T122" s="259">
        <f t="shared" ref="T122:T138" si="48">N122</f>
        <v>900</v>
      </c>
      <c r="U122" s="46" t="b">
        <f t="shared" si="45"/>
        <v>1</v>
      </c>
      <c r="V122" s="46" t="b">
        <f t="shared" si="46"/>
        <v>1</v>
      </c>
      <c r="W122" s="46" t="b">
        <f t="shared" ref="W122:W138" si="49">AND(U122,Q122,V122)</f>
        <v>1</v>
      </c>
    </row>
    <row r="123" spans="1:25" ht="16.5">
      <c r="A123" s="40"/>
      <c r="B123" s="40"/>
      <c r="C123" s="40"/>
      <c r="D123" s="40"/>
      <c r="E123" s="40"/>
      <c r="F123" s="40"/>
      <c r="G123" s="40"/>
      <c r="H123" s="40" t="str">
        <f t="shared" si="38"/>
        <v>CLU7A2</v>
      </c>
      <c r="I123" s="188">
        <f>'最大定格(信頼性) (3)'!N3</f>
        <v>-5.9999999999999911</v>
      </c>
      <c r="J123" s="188">
        <f>'最大定格(信頼性) (3)'!N4</f>
        <v>859.99999999999909</v>
      </c>
      <c r="K123" s="61"/>
      <c r="L123" s="259">
        <f t="shared" si="39"/>
        <v>300</v>
      </c>
      <c r="M123" s="261">
        <f t="shared" si="40"/>
        <v>709.99999999999932</v>
      </c>
      <c r="N123" s="262">
        <f t="shared" si="47"/>
        <v>300</v>
      </c>
      <c r="O123" s="260">
        <f t="shared" si="41"/>
        <v>300</v>
      </c>
      <c r="P123" s="61" t="str">
        <f t="shared" si="42"/>
        <v>CLU7A2</v>
      </c>
      <c r="Q123" s="46" t="b">
        <f t="shared" si="43"/>
        <v>1</v>
      </c>
      <c r="R123" s="259">
        <f t="shared" si="44"/>
        <v>5</v>
      </c>
      <c r="S123" s="259"/>
      <c r="T123" s="259">
        <f t="shared" si="48"/>
        <v>300</v>
      </c>
      <c r="U123" s="46" t="b">
        <f t="shared" si="45"/>
        <v>1</v>
      </c>
      <c r="V123" s="46" t="b">
        <f t="shared" si="46"/>
        <v>1</v>
      </c>
      <c r="W123" s="46" t="b">
        <f t="shared" si="49"/>
        <v>1</v>
      </c>
    </row>
    <row r="124" spans="1:25" ht="16.5">
      <c r="A124" s="40"/>
      <c r="B124" s="40"/>
      <c r="C124" s="40"/>
      <c r="D124" s="40"/>
      <c r="E124" s="40"/>
      <c r="F124" s="40"/>
      <c r="G124" s="40"/>
      <c r="H124" s="40" t="str">
        <f t="shared" si="38"/>
        <v>CLU702</v>
      </c>
      <c r="I124" s="188">
        <f>'最大定格(信頼性) (3)'!U3</f>
        <v>-7.7142857142857109</v>
      </c>
      <c r="J124" s="188">
        <f>'最大定格(信頼性) (3)'!U4</f>
        <v>1229.9999999999995</v>
      </c>
      <c r="K124" s="61"/>
      <c r="L124" s="259">
        <f t="shared" si="39"/>
        <v>600</v>
      </c>
      <c r="M124" s="261">
        <f t="shared" si="40"/>
        <v>1037.1428571428569</v>
      </c>
      <c r="N124" s="262">
        <f t="shared" si="47"/>
        <v>600</v>
      </c>
      <c r="O124" s="260">
        <f t="shared" si="41"/>
        <v>300</v>
      </c>
      <c r="P124" s="61" t="str">
        <f t="shared" si="42"/>
        <v>CLU702</v>
      </c>
      <c r="Q124" s="46" t="b">
        <f t="shared" si="43"/>
        <v>1</v>
      </c>
      <c r="R124" s="259">
        <f t="shared" si="44"/>
        <v>10</v>
      </c>
      <c r="S124" s="259"/>
      <c r="T124" s="259">
        <f t="shared" si="48"/>
        <v>600</v>
      </c>
      <c r="U124" s="46" t="b">
        <f t="shared" si="45"/>
        <v>1</v>
      </c>
      <c r="V124" s="46" t="b">
        <f t="shared" si="46"/>
        <v>1</v>
      </c>
      <c r="W124" s="46" t="b">
        <f t="shared" si="49"/>
        <v>1</v>
      </c>
    </row>
    <row r="125" spans="1:25" ht="16.5">
      <c r="A125" s="40"/>
      <c r="B125" s="40"/>
      <c r="C125" s="40"/>
      <c r="D125" s="40"/>
      <c r="E125" s="40"/>
      <c r="F125" s="40"/>
      <c r="G125" s="40"/>
      <c r="H125" s="40" t="str">
        <f t="shared" si="38"/>
        <v>CLU712</v>
      </c>
      <c r="I125" s="188">
        <f>'最大定格(信頼性) (3)'!AB3</f>
        <v>-13.714285714285708</v>
      </c>
      <c r="J125" s="188">
        <f>'最大定格(信頼性) (3)'!AB4</f>
        <v>2319.9999999999991</v>
      </c>
      <c r="K125" s="40"/>
      <c r="L125" s="259">
        <f t="shared" si="39"/>
        <v>1200</v>
      </c>
      <c r="M125" s="261">
        <f t="shared" si="40"/>
        <v>1977.1428571428564</v>
      </c>
      <c r="N125" s="262">
        <f t="shared" si="47"/>
        <v>1200</v>
      </c>
      <c r="O125" s="260">
        <f t="shared" si="41"/>
        <v>300</v>
      </c>
      <c r="P125" s="61" t="str">
        <f t="shared" si="42"/>
        <v>CLU712</v>
      </c>
      <c r="Q125" s="46" t="b">
        <f t="shared" si="43"/>
        <v>1</v>
      </c>
      <c r="R125" s="259">
        <f t="shared" si="44"/>
        <v>20</v>
      </c>
      <c r="S125" s="70"/>
      <c r="T125" s="259">
        <f t="shared" si="48"/>
        <v>1200</v>
      </c>
      <c r="U125" s="46" t="b">
        <f t="shared" si="45"/>
        <v>1</v>
      </c>
      <c r="V125" s="46" t="b">
        <f t="shared" si="46"/>
        <v>1</v>
      </c>
      <c r="W125" s="46" t="b">
        <f t="shared" si="49"/>
        <v>1</v>
      </c>
    </row>
    <row r="126" spans="1:25" ht="16.5">
      <c r="A126" s="40"/>
      <c r="B126" s="40"/>
      <c r="C126" s="40"/>
      <c r="D126" s="40"/>
      <c r="E126" s="40"/>
      <c r="F126" s="40"/>
      <c r="G126" s="40"/>
      <c r="H126" s="40">
        <f t="shared" si="38"/>
        <v>0</v>
      </c>
      <c r="I126" s="188"/>
      <c r="J126" s="188"/>
      <c r="K126" s="40"/>
      <c r="L126" s="259" t="e">
        <f t="shared" si="39"/>
        <v>#VALUE!</v>
      </c>
      <c r="M126" s="261">
        <f t="shared" si="40"/>
        <v>0</v>
      </c>
      <c r="N126" s="262" t="e">
        <f t="shared" si="47"/>
        <v>#VALUE!</v>
      </c>
      <c r="O126" s="260" t="e">
        <f t="shared" si="41"/>
        <v>#VALUE!</v>
      </c>
      <c r="P126" s="61">
        <f t="shared" si="42"/>
        <v>0</v>
      </c>
      <c r="Q126" s="46" t="b">
        <f t="shared" si="43"/>
        <v>1</v>
      </c>
      <c r="R126" s="259" t="e">
        <f t="shared" si="44"/>
        <v>#VALUE!</v>
      </c>
      <c r="S126" s="70"/>
      <c r="T126" s="259" t="e">
        <f t="shared" si="48"/>
        <v>#VALUE!</v>
      </c>
      <c r="U126" s="46" t="b">
        <f t="shared" si="45"/>
        <v>0</v>
      </c>
      <c r="V126" s="46" t="b">
        <f t="shared" si="46"/>
        <v>0</v>
      </c>
      <c r="W126" s="46" t="b">
        <f t="shared" si="49"/>
        <v>0</v>
      </c>
    </row>
    <row r="127" spans="1:25" ht="16.5">
      <c r="A127" s="40"/>
      <c r="B127" s="40"/>
      <c r="C127" s="40"/>
      <c r="G127" s="40"/>
      <c r="H127" s="40">
        <f t="shared" si="38"/>
        <v>0</v>
      </c>
      <c r="I127" s="188"/>
      <c r="J127" s="188"/>
      <c r="K127" s="40"/>
      <c r="L127" s="70" t="e">
        <f t="shared" si="39"/>
        <v>#VALUE!</v>
      </c>
      <c r="M127" s="85">
        <f t="shared" si="40"/>
        <v>0</v>
      </c>
      <c r="N127" s="86" t="e">
        <f t="shared" si="47"/>
        <v>#VALUE!</v>
      </c>
      <c r="O127" s="77" t="e">
        <f t="shared" si="41"/>
        <v>#VALUE!</v>
      </c>
      <c r="P127" s="40">
        <f t="shared" si="42"/>
        <v>0</v>
      </c>
      <c r="Q127" s="46" t="b">
        <f t="shared" si="43"/>
        <v>1</v>
      </c>
      <c r="R127" s="259" t="e">
        <f t="shared" si="44"/>
        <v>#VALUE!</v>
      </c>
      <c r="S127" s="70"/>
      <c r="T127" s="70" t="e">
        <f t="shared" si="48"/>
        <v>#VALUE!</v>
      </c>
      <c r="U127" s="46" t="b">
        <f t="shared" si="45"/>
        <v>0</v>
      </c>
      <c r="V127" s="46" t="b">
        <f t="shared" si="46"/>
        <v>0</v>
      </c>
      <c r="W127" s="46" t="b">
        <f t="shared" si="49"/>
        <v>0</v>
      </c>
    </row>
    <row r="128" spans="1:25" ht="16.5">
      <c r="A128" s="40"/>
      <c r="B128" s="40"/>
      <c r="C128" s="40"/>
      <c r="D128" s="40"/>
      <c r="E128" s="40"/>
      <c r="F128" s="40"/>
      <c r="G128" s="40"/>
      <c r="H128" s="40">
        <f t="shared" si="38"/>
        <v>0</v>
      </c>
      <c r="I128" s="188"/>
      <c r="J128" s="188"/>
      <c r="K128" s="40"/>
      <c r="L128" s="70" t="e">
        <f t="shared" si="39"/>
        <v>#VALUE!</v>
      </c>
      <c r="M128" s="85">
        <f t="shared" si="40"/>
        <v>0</v>
      </c>
      <c r="N128" s="86" t="e">
        <f t="shared" si="47"/>
        <v>#VALUE!</v>
      </c>
      <c r="O128" s="77" t="e">
        <f t="shared" si="41"/>
        <v>#VALUE!</v>
      </c>
      <c r="P128" s="40">
        <f t="shared" si="42"/>
        <v>0</v>
      </c>
      <c r="Q128" s="46" t="b">
        <f t="shared" si="43"/>
        <v>1</v>
      </c>
      <c r="R128" s="259" t="e">
        <f t="shared" si="44"/>
        <v>#VALUE!</v>
      </c>
      <c r="S128" s="70"/>
      <c r="T128" s="70" t="e">
        <f t="shared" si="48"/>
        <v>#VALUE!</v>
      </c>
      <c r="U128" s="46" t="b">
        <f t="shared" si="45"/>
        <v>0</v>
      </c>
      <c r="V128" s="46" t="b">
        <f t="shared" si="46"/>
        <v>0</v>
      </c>
      <c r="W128" s="46" t="b">
        <f t="shared" si="49"/>
        <v>0</v>
      </c>
    </row>
    <row r="129" spans="1:25" ht="16.5">
      <c r="A129" s="40"/>
      <c r="B129" s="40"/>
      <c r="C129" s="40"/>
      <c r="D129" s="40"/>
      <c r="E129" s="40"/>
      <c r="F129" s="40"/>
      <c r="G129" s="40"/>
      <c r="H129" s="40">
        <f t="shared" si="38"/>
        <v>0</v>
      </c>
      <c r="I129" s="188"/>
      <c r="J129" s="188"/>
      <c r="K129" s="40"/>
      <c r="L129" s="70" t="e">
        <f t="shared" si="39"/>
        <v>#VALUE!</v>
      </c>
      <c r="M129" s="85">
        <f t="shared" si="40"/>
        <v>0</v>
      </c>
      <c r="N129" s="86" t="e">
        <f t="shared" si="47"/>
        <v>#VALUE!</v>
      </c>
      <c r="O129" s="77" t="e">
        <f t="shared" si="41"/>
        <v>#VALUE!</v>
      </c>
      <c r="P129" s="40">
        <f t="shared" si="42"/>
        <v>0</v>
      </c>
      <c r="Q129" s="46" t="b">
        <f t="shared" si="43"/>
        <v>1</v>
      </c>
      <c r="R129" s="259" t="e">
        <f t="shared" si="44"/>
        <v>#VALUE!</v>
      </c>
      <c r="S129" s="70"/>
      <c r="T129" s="70" t="e">
        <f t="shared" si="48"/>
        <v>#VALUE!</v>
      </c>
      <c r="U129" s="46" t="b">
        <f t="shared" si="45"/>
        <v>0</v>
      </c>
      <c r="V129" s="46" t="b">
        <f t="shared" si="46"/>
        <v>0</v>
      </c>
      <c r="W129" s="46" t="b">
        <f t="shared" si="49"/>
        <v>0</v>
      </c>
    </row>
    <row r="130" spans="1:25" ht="16.5">
      <c r="A130" s="60"/>
      <c r="D130" s="40"/>
      <c r="F130" s="40"/>
      <c r="G130" s="40"/>
      <c r="H130" s="40">
        <f t="shared" si="38"/>
        <v>0</v>
      </c>
      <c r="I130" s="188"/>
      <c r="J130" s="188"/>
      <c r="K130" s="40"/>
      <c r="L130" s="70" t="e">
        <f t="shared" si="39"/>
        <v>#VALUE!</v>
      </c>
      <c r="M130" s="85">
        <f t="shared" si="40"/>
        <v>0</v>
      </c>
      <c r="N130" s="86" t="e">
        <f t="shared" si="47"/>
        <v>#VALUE!</v>
      </c>
      <c r="O130" s="77" t="e">
        <f t="shared" si="41"/>
        <v>#VALUE!</v>
      </c>
      <c r="P130" s="40">
        <f t="shared" si="42"/>
        <v>0</v>
      </c>
      <c r="Q130" s="46" t="b">
        <f t="shared" si="43"/>
        <v>1</v>
      </c>
      <c r="R130" s="259" t="e">
        <f t="shared" si="44"/>
        <v>#VALUE!</v>
      </c>
      <c r="S130" s="70"/>
      <c r="T130" s="70" t="e">
        <f t="shared" si="48"/>
        <v>#VALUE!</v>
      </c>
      <c r="U130" s="46" t="b">
        <f t="shared" si="45"/>
        <v>0</v>
      </c>
      <c r="V130" s="46" t="b">
        <f t="shared" si="46"/>
        <v>0</v>
      </c>
      <c r="W130" s="46" t="b">
        <f t="shared" si="49"/>
        <v>0</v>
      </c>
    </row>
    <row r="131" spans="1:25" ht="16.5">
      <c r="A131" s="60" t="s">
        <v>28</v>
      </c>
      <c r="D131" s="40"/>
      <c r="E131" s="40"/>
      <c r="G131" s="40"/>
      <c r="H131" s="40">
        <f t="shared" si="38"/>
        <v>0</v>
      </c>
      <c r="I131" s="188"/>
      <c r="J131" s="188"/>
      <c r="K131" s="40"/>
      <c r="L131" s="70" t="e">
        <f t="shared" si="39"/>
        <v>#VALUE!</v>
      </c>
      <c r="M131" s="85">
        <f t="shared" si="40"/>
        <v>0</v>
      </c>
      <c r="N131" s="86" t="e">
        <f t="shared" si="47"/>
        <v>#VALUE!</v>
      </c>
      <c r="O131" s="77" t="e">
        <f t="shared" si="41"/>
        <v>#VALUE!</v>
      </c>
      <c r="P131" s="40">
        <f t="shared" si="42"/>
        <v>0</v>
      </c>
      <c r="Q131" s="46" t="b">
        <f t="shared" si="43"/>
        <v>1</v>
      </c>
      <c r="R131" s="259" t="e">
        <f t="shared" si="44"/>
        <v>#VALUE!</v>
      </c>
      <c r="S131" s="70"/>
      <c r="T131" s="70" t="e">
        <f t="shared" si="48"/>
        <v>#VALUE!</v>
      </c>
      <c r="U131" s="46" t="b">
        <f t="shared" si="45"/>
        <v>0</v>
      </c>
      <c r="V131" s="46" t="b">
        <f t="shared" si="46"/>
        <v>0</v>
      </c>
      <c r="W131" s="46" t="b">
        <f t="shared" si="49"/>
        <v>0</v>
      </c>
    </row>
    <row r="132" spans="1:25" ht="16.5">
      <c r="A132" s="60" t="s">
        <v>29</v>
      </c>
      <c r="D132" s="40"/>
      <c r="E132" s="40"/>
      <c r="G132" s="40"/>
      <c r="H132" s="40">
        <f t="shared" si="38"/>
        <v>0</v>
      </c>
      <c r="I132" s="188"/>
      <c r="J132" s="188"/>
      <c r="K132" s="40"/>
      <c r="L132" s="70" t="e">
        <f t="shared" si="39"/>
        <v>#VALUE!</v>
      </c>
      <c r="M132" s="85">
        <f t="shared" si="40"/>
        <v>0</v>
      </c>
      <c r="N132" s="86" t="e">
        <f t="shared" si="47"/>
        <v>#VALUE!</v>
      </c>
      <c r="O132" s="77" t="e">
        <f t="shared" si="41"/>
        <v>#VALUE!</v>
      </c>
      <c r="P132" s="40">
        <f t="shared" si="42"/>
        <v>0</v>
      </c>
      <c r="Q132" s="46" t="b">
        <f t="shared" si="43"/>
        <v>1</v>
      </c>
      <c r="R132" s="259" t="e">
        <f t="shared" si="44"/>
        <v>#VALUE!</v>
      </c>
      <c r="S132" s="70"/>
      <c r="T132" s="70" t="e">
        <f t="shared" si="48"/>
        <v>#VALUE!</v>
      </c>
      <c r="U132" s="46" t="b">
        <f t="shared" si="45"/>
        <v>0</v>
      </c>
      <c r="V132" s="46" t="b">
        <f t="shared" si="46"/>
        <v>0</v>
      </c>
      <c r="W132" s="46" t="b">
        <f t="shared" si="49"/>
        <v>0</v>
      </c>
    </row>
    <row r="133" spans="1:25" ht="16.5">
      <c r="A133" s="60" t="s">
        <v>30</v>
      </c>
      <c r="E133" s="40"/>
      <c r="G133" s="40"/>
      <c r="H133" s="40">
        <f t="shared" si="38"/>
        <v>0</v>
      </c>
      <c r="I133" s="189"/>
      <c r="J133" s="188"/>
      <c r="K133" s="40"/>
      <c r="L133" s="70" t="e">
        <f t="shared" si="39"/>
        <v>#VALUE!</v>
      </c>
      <c r="M133" s="85">
        <f t="shared" si="40"/>
        <v>0</v>
      </c>
      <c r="N133" s="86" t="e">
        <f t="shared" si="47"/>
        <v>#VALUE!</v>
      </c>
      <c r="O133" s="77" t="e">
        <f t="shared" si="41"/>
        <v>#VALUE!</v>
      </c>
      <c r="P133" s="40">
        <f t="shared" si="42"/>
        <v>0</v>
      </c>
      <c r="Q133" s="46" t="b">
        <f t="shared" si="43"/>
        <v>1</v>
      </c>
      <c r="R133" s="259" t="e">
        <f t="shared" si="44"/>
        <v>#VALUE!</v>
      </c>
      <c r="S133" s="70"/>
      <c r="T133" s="70" t="e">
        <f t="shared" si="48"/>
        <v>#VALUE!</v>
      </c>
      <c r="U133" s="46" t="b">
        <f t="shared" si="45"/>
        <v>0</v>
      </c>
      <c r="V133" s="46" t="b">
        <f t="shared" si="46"/>
        <v>0</v>
      </c>
      <c r="W133" s="46" t="b">
        <f t="shared" si="49"/>
        <v>0</v>
      </c>
    </row>
    <row r="134" spans="1:25" ht="16.5">
      <c r="A134" s="61" t="s">
        <v>45</v>
      </c>
      <c r="G134" s="40"/>
      <c r="H134" s="40">
        <f t="shared" si="38"/>
        <v>0</v>
      </c>
      <c r="I134" s="189"/>
      <c r="J134" s="188"/>
      <c r="K134" s="40"/>
      <c r="L134" s="70" t="e">
        <f t="shared" si="39"/>
        <v>#VALUE!</v>
      </c>
      <c r="M134" s="85">
        <f t="shared" si="40"/>
        <v>0</v>
      </c>
      <c r="N134" s="86" t="e">
        <f t="shared" si="47"/>
        <v>#VALUE!</v>
      </c>
      <c r="O134" s="77" t="e">
        <f t="shared" si="41"/>
        <v>#VALUE!</v>
      </c>
      <c r="P134" s="40">
        <f t="shared" si="42"/>
        <v>0</v>
      </c>
      <c r="Q134" s="46" t="b">
        <f t="shared" si="43"/>
        <v>1</v>
      </c>
      <c r="R134" s="259" t="e">
        <f t="shared" si="44"/>
        <v>#VALUE!</v>
      </c>
      <c r="S134" s="70"/>
      <c r="T134" s="70" t="e">
        <f t="shared" si="48"/>
        <v>#VALUE!</v>
      </c>
      <c r="U134" s="46" t="b">
        <f t="shared" si="45"/>
        <v>0</v>
      </c>
      <c r="V134" s="46" t="b">
        <f t="shared" si="46"/>
        <v>0</v>
      </c>
      <c r="W134" s="46" t="b">
        <f t="shared" si="49"/>
        <v>0</v>
      </c>
    </row>
    <row r="135" spans="1:25" ht="16.5">
      <c r="A135" s="40"/>
      <c r="G135" s="40"/>
      <c r="H135" s="40">
        <f t="shared" si="38"/>
        <v>0</v>
      </c>
      <c r="I135" s="189"/>
      <c r="J135" s="188"/>
      <c r="K135" s="40"/>
      <c r="L135" s="70" t="e">
        <f t="shared" si="39"/>
        <v>#VALUE!</v>
      </c>
      <c r="M135" s="85">
        <f t="shared" si="40"/>
        <v>0</v>
      </c>
      <c r="N135" s="86" t="e">
        <f t="shared" si="47"/>
        <v>#VALUE!</v>
      </c>
      <c r="O135" s="77" t="e">
        <f t="shared" si="41"/>
        <v>#VALUE!</v>
      </c>
      <c r="P135" s="40">
        <f t="shared" si="42"/>
        <v>0</v>
      </c>
      <c r="Q135" s="46" t="b">
        <f t="shared" si="43"/>
        <v>1</v>
      </c>
      <c r="R135" s="259" t="e">
        <f t="shared" si="44"/>
        <v>#VALUE!</v>
      </c>
      <c r="S135" s="70"/>
      <c r="T135" s="70" t="e">
        <f t="shared" si="48"/>
        <v>#VALUE!</v>
      </c>
      <c r="U135" s="46" t="b">
        <f t="shared" si="45"/>
        <v>0</v>
      </c>
      <c r="V135" s="46" t="b">
        <f t="shared" si="46"/>
        <v>0</v>
      </c>
      <c r="W135" s="46" t="b">
        <f t="shared" si="49"/>
        <v>0</v>
      </c>
    </row>
    <row r="136" spans="1:25" ht="16.5">
      <c r="A136" s="40"/>
      <c r="G136" s="40"/>
      <c r="H136" s="40">
        <f t="shared" si="38"/>
        <v>0</v>
      </c>
      <c r="I136" s="189"/>
      <c r="J136" s="188"/>
      <c r="K136" s="40"/>
      <c r="L136" s="70" t="e">
        <f t="shared" si="39"/>
        <v>#VALUE!</v>
      </c>
      <c r="M136" s="85">
        <f t="shared" si="40"/>
        <v>0</v>
      </c>
      <c r="N136" s="86" t="e">
        <f t="shared" si="47"/>
        <v>#VALUE!</v>
      </c>
      <c r="O136" s="77" t="e">
        <f t="shared" si="41"/>
        <v>#VALUE!</v>
      </c>
      <c r="P136" s="40">
        <f t="shared" si="42"/>
        <v>0</v>
      </c>
      <c r="Q136" s="46" t="b">
        <f t="shared" si="43"/>
        <v>1</v>
      </c>
      <c r="R136" s="259" t="e">
        <f t="shared" si="44"/>
        <v>#VALUE!</v>
      </c>
      <c r="S136" s="70"/>
      <c r="T136" s="70" t="e">
        <f t="shared" si="48"/>
        <v>#VALUE!</v>
      </c>
      <c r="U136" s="46" t="b">
        <f t="shared" si="45"/>
        <v>0</v>
      </c>
      <c r="V136" s="46" t="b">
        <f t="shared" si="46"/>
        <v>0</v>
      </c>
      <c r="W136" s="46" t="b">
        <f t="shared" si="49"/>
        <v>0</v>
      </c>
    </row>
    <row r="137" spans="1:25" ht="16.5">
      <c r="A137" s="40"/>
      <c r="G137" s="40"/>
      <c r="H137" s="40">
        <f t="shared" si="38"/>
        <v>0</v>
      </c>
      <c r="I137" s="189"/>
      <c r="J137" s="188"/>
      <c r="K137" s="40"/>
      <c r="L137" s="70" t="e">
        <f t="shared" si="39"/>
        <v>#VALUE!</v>
      </c>
      <c r="M137" s="85">
        <f t="shared" si="40"/>
        <v>0</v>
      </c>
      <c r="N137" s="86" t="e">
        <f t="shared" si="47"/>
        <v>#VALUE!</v>
      </c>
      <c r="O137" s="77" t="e">
        <f t="shared" si="41"/>
        <v>#VALUE!</v>
      </c>
      <c r="P137" s="40">
        <f t="shared" si="42"/>
        <v>0</v>
      </c>
      <c r="Q137" s="46" t="b">
        <f t="shared" si="43"/>
        <v>1</v>
      </c>
      <c r="R137" s="259" t="e">
        <f t="shared" si="44"/>
        <v>#VALUE!</v>
      </c>
      <c r="S137" s="70"/>
      <c r="T137" s="70" t="e">
        <f t="shared" si="48"/>
        <v>#VALUE!</v>
      </c>
      <c r="U137" s="46" t="b">
        <f t="shared" si="45"/>
        <v>0</v>
      </c>
      <c r="V137" s="46" t="b">
        <f t="shared" si="46"/>
        <v>0</v>
      </c>
      <c r="W137" s="46" t="b">
        <f t="shared" si="49"/>
        <v>0</v>
      </c>
    </row>
    <row r="138" spans="1:25" ht="16.5">
      <c r="A138" s="40"/>
      <c r="G138" s="40"/>
      <c r="H138" s="40">
        <f t="shared" si="38"/>
        <v>0</v>
      </c>
      <c r="I138" s="188"/>
      <c r="J138" s="188"/>
      <c r="K138" s="40"/>
      <c r="L138" s="70" t="e">
        <f t="shared" si="39"/>
        <v>#VALUE!</v>
      </c>
      <c r="M138" s="85">
        <f t="shared" si="40"/>
        <v>0</v>
      </c>
      <c r="N138" s="86" t="e">
        <f t="shared" si="47"/>
        <v>#VALUE!</v>
      </c>
      <c r="O138" s="77" t="e">
        <f t="shared" si="41"/>
        <v>#VALUE!</v>
      </c>
      <c r="P138" s="40">
        <f t="shared" si="42"/>
        <v>0</v>
      </c>
      <c r="Q138" s="46" t="b">
        <f t="shared" si="43"/>
        <v>1</v>
      </c>
      <c r="R138" s="259" t="e">
        <f t="shared" si="44"/>
        <v>#VALUE!</v>
      </c>
      <c r="S138" s="70"/>
      <c r="T138" s="70" t="e">
        <f t="shared" si="48"/>
        <v>#VALUE!</v>
      </c>
      <c r="U138" s="46" t="b">
        <f t="shared" si="45"/>
        <v>0</v>
      </c>
      <c r="V138" s="46" t="b">
        <f t="shared" si="46"/>
        <v>0</v>
      </c>
      <c r="W138" s="46" t="b">
        <f t="shared" si="49"/>
        <v>0</v>
      </c>
    </row>
    <row r="139" spans="1:25" ht="16.5">
      <c r="A139" s="40"/>
      <c r="G139" s="40"/>
      <c r="H139" s="40"/>
      <c r="I139" s="188"/>
      <c r="J139" s="188"/>
      <c r="K139" s="40"/>
      <c r="L139" s="70"/>
      <c r="M139" s="85"/>
      <c r="N139" s="86"/>
      <c r="O139" s="77"/>
      <c r="P139" s="40"/>
      <c r="Q139" s="46"/>
      <c r="R139" s="259"/>
      <c r="S139" s="70"/>
      <c r="T139" s="70"/>
      <c r="U139" s="46"/>
      <c r="V139" s="46"/>
      <c r="W139" s="46"/>
    </row>
    <row r="140" spans="1:25" ht="16.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 spans="1:25" ht="16.5">
      <c r="A141" s="61"/>
      <c r="B141" s="78"/>
      <c r="C141" s="78"/>
      <c r="D141" s="78"/>
      <c r="E141" s="78"/>
      <c r="F141" s="78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 spans="1:25" ht="16.5">
      <c r="A142" s="61"/>
      <c r="B142" s="78"/>
      <c r="C142" s="78"/>
      <c r="D142" s="78"/>
      <c r="E142" s="78"/>
      <c r="F142" s="78"/>
      <c r="G142" s="40"/>
      <c r="H142" s="40"/>
      <c r="I142" s="40"/>
      <c r="J142" s="40"/>
      <c r="K142" s="40"/>
      <c r="L142" s="40"/>
      <c r="M142" s="40"/>
      <c r="N142" s="40"/>
      <c r="O142" s="40"/>
      <c r="P142" s="67">
        <v>0.92</v>
      </c>
      <c r="Q142" s="67">
        <v>1.08</v>
      </c>
      <c r="R142" s="40"/>
      <c r="S142" s="40"/>
      <c r="T142" s="40"/>
      <c r="U142" s="40"/>
      <c r="V142" s="40"/>
      <c r="W142" s="40"/>
    </row>
    <row r="143" spans="1:25" ht="16.5">
      <c r="A143" s="61"/>
      <c r="B143" s="78"/>
      <c r="C143" s="78"/>
      <c r="D143" s="40"/>
      <c r="E143" s="40"/>
      <c r="G143" s="40"/>
      <c r="H143" s="61" t="s">
        <v>34</v>
      </c>
      <c r="I143" s="61"/>
      <c r="J143" s="61"/>
      <c r="K143" s="61" t="str">
        <f>HLOOKUP(Selector!$C$6,Calculation!L$75:AD$94,2,FALSE)</f>
        <v>4000K,80Min</v>
      </c>
      <c r="L143" s="61" t="s">
        <v>93</v>
      </c>
      <c r="M143" s="61" t="s">
        <v>16</v>
      </c>
      <c r="N143" s="75" t="s">
        <v>33</v>
      </c>
      <c r="O143" s="61" t="s">
        <v>54</v>
      </c>
      <c r="P143" s="74" t="s">
        <v>50</v>
      </c>
      <c r="Q143" s="74" t="s">
        <v>52</v>
      </c>
      <c r="R143" s="75" t="s">
        <v>38</v>
      </c>
      <c r="S143" s="73" t="s">
        <v>21</v>
      </c>
      <c r="T143" s="73"/>
      <c r="U143" s="73" t="s">
        <v>15</v>
      </c>
      <c r="V143" s="61" t="s">
        <v>39</v>
      </c>
      <c r="W143" s="61" t="s">
        <v>72</v>
      </c>
      <c r="X143" s="73" t="s">
        <v>6</v>
      </c>
      <c r="Y143" s="40"/>
    </row>
    <row r="144" spans="1:25" ht="16.5">
      <c r="A144" s="61"/>
      <c r="B144" s="78"/>
      <c r="C144" s="78"/>
      <c r="D144" s="40"/>
      <c r="E144" s="40"/>
      <c r="G144" s="40"/>
      <c r="H144" s="259">
        <f t="shared" ref="H144:H161" si="50">K144/G77</f>
        <v>73.518169369430296</v>
      </c>
      <c r="I144" s="61"/>
      <c r="J144" s="61" t="str">
        <f t="shared" ref="J144:J161" si="51">B3</f>
        <v>CLU7B2</v>
      </c>
      <c r="K144" s="275">
        <f>HLOOKUP(Selector!$C$6,Calculation!L$75:AD$94,3,FALSE)</f>
        <v>514.62718558601205</v>
      </c>
      <c r="L144" s="260">
        <f t="shared" ref="L144:L161" si="52">E$99/I77</f>
        <v>150</v>
      </c>
      <c r="M144" s="260">
        <f>(C$66*$L144^3+C$67*$L144^2+C$68*$L144+C$69)*K144</f>
        <v>450.85555765946879</v>
      </c>
      <c r="N144" s="279">
        <f>($F$66*$E$100^3+$F$67*$E$100^2+$F$68*$E$100+$F$69)*M144</f>
        <v>450.8555576534539</v>
      </c>
      <c r="O144" s="260">
        <f>(E$66*$L144^2+E$67*$L144+E$68)*K77</f>
        <v>21.508662040975995</v>
      </c>
      <c r="P144" s="278">
        <f>R144*$P$142</f>
        <v>19.787969077289521</v>
      </c>
      <c r="Q144" s="278">
        <f t="shared" ref="Q144:Q145" si="53">R144*$Q$142</f>
        <v>23.229355003774657</v>
      </c>
      <c r="R144" s="279">
        <f>(G$66*$E$100^2+G$67*$E$100+G$68)*O144</f>
        <v>21.508662040532087</v>
      </c>
      <c r="S144" s="277">
        <f t="shared" ref="S144:S161" si="54">(L144*I77)*R144/1000</f>
        <v>3.2262993060798131</v>
      </c>
      <c r="T144" s="73"/>
      <c r="U144" s="277">
        <f>N144/S144</f>
        <v>139.74387212117526</v>
      </c>
      <c r="V144" s="259">
        <f t="shared" ref="V144:V161" si="55">V98</f>
        <v>5.4</v>
      </c>
      <c r="W144" s="259">
        <f>S144*V144</f>
        <v>17.422016252830993</v>
      </c>
      <c r="X144" s="277">
        <f>E$100+W144</f>
        <v>42.422016252830993</v>
      </c>
      <c r="Y144" s="40"/>
    </row>
    <row r="145" spans="1:25" ht="16.5">
      <c r="A145" s="61"/>
      <c r="B145" s="78"/>
      <c r="C145" s="78"/>
      <c r="D145" s="40"/>
      <c r="E145" s="40"/>
      <c r="G145" s="40"/>
      <c r="H145" s="259">
        <f t="shared" si="50"/>
        <v>73.982179422642261</v>
      </c>
      <c r="I145" s="61"/>
      <c r="J145" s="61" t="str">
        <f t="shared" si="51"/>
        <v>CLU7A2</v>
      </c>
      <c r="K145" s="275">
        <f>HLOOKUP(Selector!$C$6,Calculation!L$75:AD$94,4,FALSE)</f>
        <v>887.78615307170719</v>
      </c>
      <c r="L145" s="260">
        <f t="shared" si="52"/>
        <v>50</v>
      </c>
      <c r="M145" s="260">
        <f>(C$72*$L145^3+C$73*$L145^2+C$74*$L145+C$75)*K145</f>
        <v>283.28270326198691</v>
      </c>
      <c r="N145" s="279">
        <f>($F$72*$F$100^3+$F$73*$F$100^2+$F$74*$F$100+$F$75)*M145</f>
        <v>283.28270326198691</v>
      </c>
      <c r="O145" s="260">
        <f>(E$72*$L145^2+E$73*$L145+E$74)*K78</f>
        <v>11.11756618881522</v>
      </c>
      <c r="P145" s="278">
        <f>R145*$P$142</f>
        <v>10.228160893709999</v>
      </c>
      <c r="Q145" s="278">
        <f t="shared" si="53"/>
        <v>12.006971483920434</v>
      </c>
      <c r="R145" s="279">
        <f>(G$72*$F$100^2+G$73*$F$100+G$74)*O145</f>
        <v>11.117566188815216</v>
      </c>
      <c r="S145" s="277">
        <f t="shared" si="54"/>
        <v>1.6676349283222824</v>
      </c>
      <c r="T145" s="73"/>
      <c r="U145" s="277">
        <f t="shared" ref="U145:U161" si="56">N145/S145</f>
        <v>169.87093424996942</v>
      </c>
      <c r="V145" s="259">
        <f t="shared" si="55"/>
        <v>3</v>
      </c>
      <c r="W145" s="259">
        <f t="shared" ref="W145" si="57">S145*V145</f>
        <v>5.0029047849668471</v>
      </c>
      <c r="X145" s="277">
        <f t="shared" ref="X145:X161" si="58">E$100+W145</f>
        <v>30.002904784966848</v>
      </c>
      <c r="Y145" s="40"/>
    </row>
    <row r="146" spans="1:25" ht="16.5">
      <c r="A146" s="61"/>
      <c r="B146" s="78"/>
      <c r="C146" s="78"/>
      <c r="D146" s="40"/>
      <c r="E146" s="40"/>
      <c r="G146" s="40"/>
      <c r="H146" s="259">
        <f t="shared" si="50"/>
        <v>73.982179422642261</v>
      </c>
      <c r="I146" s="61"/>
      <c r="J146" s="61" t="str">
        <f t="shared" si="51"/>
        <v>CLU7A2</v>
      </c>
      <c r="K146" s="275">
        <f>HLOOKUP(Selector!$C$6,Calculation!L$75:AD$94,5,FALSE)</f>
        <v>887.78615307170719</v>
      </c>
      <c r="L146" s="260">
        <f t="shared" si="52"/>
        <v>150</v>
      </c>
      <c r="M146" s="260">
        <f t="shared" ref="M146:M161" si="59">(C$72*$L146^3+C$73*$L146^2+C$74*$L146+C$75)*K146</f>
        <v>777.4059100898254</v>
      </c>
      <c r="N146" s="279">
        <f t="shared" ref="N146:N161" si="60">($F$72*$F$100^3+$F$73*$F$100^2+$F$74*$F$100+$F$75)*M146</f>
        <v>777.4059100898254</v>
      </c>
      <c r="O146" s="260">
        <f t="shared" ref="O146:O161" si="61">(E$72*$L146^2+E$73*$L146+E$74)*K79</f>
        <v>35.917918814098712</v>
      </c>
      <c r="P146" s="278">
        <f>R146*$P$142</f>
        <v>33.044485308970806</v>
      </c>
      <c r="Q146" s="278">
        <f>R146*$Q$142</f>
        <v>38.791352319226597</v>
      </c>
      <c r="R146" s="279">
        <f t="shared" ref="R146:R161" si="62">(G$72*$F$100^2+G$73*$F$100+G$74)*O146</f>
        <v>35.917918814098698</v>
      </c>
      <c r="S146" s="277">
        <f t="shared" si="54"/>
        <v>5.3876878221148043</v>
      </c>
      <c r="T146" s="277"/>
      <c r="U146" s="277">
        <f t="shared" si="56"/>
        <v>144.29305033205762</v>
      </c>
      <c r="V146" s="259">
        <f t="shared" si="55"/>
        <v>3</v>
      </c>
      <c r="W146" s="259">
        <f t="shared" ref="W146:W161" si="63">S146*V146</f>
        <v>16.163063466344411</v>
      </c>
      <c r="X146" s="277">
        <f t="shared" si="58"/>
        <v>41.163063466344411</v>
      </c>
      <c r="Y146" s="40"/>
    </row>
    <row r="147" spans="1:25" ht="16.5">
      <c r="A147" s="40"/>
      <c r="B147" s="40"/>
      <c r="C147" s="40"/>
      <c r="D147" s="40"/>
      <c r="E147" s="69"/>
      <c r="G147" s="40"/>
      <c r="H147" s="259">
        <f t="shared" si="50"/>
        <v>74.75795229958338</v>
      </c>
      <c r="I147" s="61"/>
      <c r="J147" s="61" t="str">
        <f t="shared" si="51"/>
        <v>CLU702</v>
      </c>
      <c r="K147" s="275">
        <f>HLOOKUP(Selector!$C$6,Calculation!L$75:AD$94,6,FALSE)</f>
        <v>1794.1908551900012</v>
      </c>
      <c r="L147" s="260">
        <f t="shared" si="52"/>
        <v>75</v>
      </c>
      <c r="M147" s="260">
        <f t="shared" si="59"/>
        <v>838.94003122820936</v>
      </c>
      <c r="N147" s="279">
        <f t="shared" si="60"/>
        <v>838.94003122820936</v>
      </c>
      <c r="O147" s="260">
        <f t="shared" si="61"/>
        <v>34.008957906545803</v>
      </c>
      <c r="P147" s="278">
        <f t="shared" ref="P147:P161" si="64">R147*$P$142</f>
        <v>31.288241274022127</v>
      </c>
      <c r="Q147" s="278">
        <f t="shared" ref="Q147:Q161" si="65">R147*$Q$142</f>
        <v>36.729674539069457</v>
      </c>
      <c r="R147" s="279">
        <f t="shared" si="62"/>
        <v>34.008957906545788</v>
      </c>
      <c r="S147" s="277">
        <f t="shared" si="54"/>
        <v>5.1013436859818686</v>
      </c>
      <c r="T147" s="277"/>
      <c r="U147" s="277">
        <f t="shared" si="56"/>
        <v>164.45471680991758</v>
      </c>
      <c r="V147" s="262">
        <f t="shared" si="55"/>
        <v>1.6</v>
      </c>
      <c r="W147" s="259">
        <f t="shared" si="63"/>
        <v>8.1621498975709894</v>
      </c>
      <c r="X147" s="277">
        <f t="shared" si="58"/>
        <v>33.162149897570991</v>
      </c>
      <c r="Y147" s="40"/>
    </row>
    <row r="148" spans="1:25" ht="16.5">
      <c r="A148" s="40"/>
      <c r="B148" s="66"/>
      <c r="C148" s="66"/>
      <c r="D148" s="40"/>
      <c r="E148" s="40"/>
      <c r="G148" s="40"/>
      <c r="H148" s="259">
        <f t="shared" si="50"/>
        <v>75.339093828926693</v>
      </c>
      <c r="I148" s="61"/>
      <c r="J148" s="61" t="str">
        <f t="shared" si="51"/>
        <v>CLU712</v>
      </c>
      <c r="K148" s="275">
        <f>HLOOKUP(Selector!$C$6,Calculation!L$75:AD$94,7,FALSE)</f>
        <v>3616.2765037884815</v>
      </c>
      <c r="L148" s="260">
        <f t="shared" si="52"/>
        <v>37.5</v>
      </c>
      <c r="M148" s="260">
        <f t="shared" si="59"/>
        <v>876.47948153503103</v>
      </c>
      <c r="N148" s="279">
        <f t="shared" si="60"/>
        <v>876.47948153503103</v>
      </c>
      <c r="O148" s="260">
        <f t="shared" si="61"/>
        <v>32.930905018697537</v>
      </c>
      <c r="P148" s="278">
        <f t="shared" si="64"/>
        <v>30.296432617201724</v>
      </c>
      <c r="Q148" s="278">
        <f t="shared" si="65"/>
        <v>35.565377420193329</v>
      </c>
      <c r="R148" s="279">
        <f t="shared" si="62"/>
        <v>32.930905018697523</v>
      </c>
      <c r="S148" s="277">
        <f t="shared" si="54"/>
        <v>4.9396357528046284</v>
      </c>
      <c r="T148" s="277"/>
      <c r="U148" s="277">
        <f t="shared" si="56"/>
        <v>177.43807952588065</v>
      </c>
      <c r="V148" s="61">
        <f t="shared" si="55"/>
        <v>0.91</v>
      </c>
      <c r="W148" s="259">
        <f t="shared" si="63"/>
        <v>4.4950685350522122</v>
      </c>
      <c r="X148" s="277">
        <f t="shared" si="58"/>
        <v>29.495068535052212</v>
      </c>
      <c r="Y148" s="40"/>
    </row>
    <row r="149" spans="1:25" ht="16.5">
      <c r="A149" s="40"/>
      <c r="B149" s="70"/>
      <c r="C149" s="83"/>
      <c r="D149" s="40"/>
      <c r="E149" s="84"/>
      <c r="G149" s="40"/>
      <c r="H149" s="259" t="e">
        <f t="shared" si="50"/>
        <v>#VALUE!</v>
      </c>
      <c r="I149" s="61"/>
      <c r="J149" s="61">
        <f t="shared" si="51"/>
        <v>0</v>
      </c>
      <c r="K149" s="275">
        <f>HLOOKUP(Selector!$C$6,Calculation!L$75:AD$94,8,FALSE)</f>
        <v>0</v>
      </c>
      <c r="L149" s="260" t="e">
        <f t="shared" si="52"/>
        <v>#VALUE!</v>
      </c>
      <c r="M149" s="260" t="e">
        <f t="shared" si="59"/>
        <v>#VALUE!</v>
      </c>
      <c r="N149" s="279" t="e">
        <f t="shared" si="60"/>
        <v>#VALUE!</v>
      </c>
      <c r="O149" s="260" t="e">
        <f t="shared" si="61"/>
        <v>#VALUE!</v>
      </c>
      <c r="P149" s="278" t="e">
        <f t="shared" si="64"/>
        <v>#VALUE!</v>
      </c>
      <c r="Q149" s="278" t="e">
        <f t="shared" si="65"/>
        <v>#VALUE!</v>
      </c>
      <c r="R149" s="279" t="e">
        <f t="shared" si="62"/>
        <v>#VALUE!</v>
      </c>
      <c r="S149" s="277" t="e">
        <f t="shared" si="54"/>
        <v>#VALUE!</v>
      </c>
      <c r="T149" s="277"/>
      <c r="U149" s="277" t="e">
        <f t="shared" si="56"/>
        <v>#VALUE!</v>
      </c>
      <c r="V149" s="61">
        <f t="shared" si="55"/>
        <v>0</v>
      </c>
      <c r="W149" s="259" t="e">
        <f t="shared" si="63"/>
        <v>#VALUE!</v>
      </c>
      <c r="X149" s="277" t="e">
        <f t="shared" si="58"/>
        <v>#VALUE!</v>
      </c>
      <c r="Y149" s="40"/>
    </row>
    <row r="150" spans="1:25" ht="16.5">
      <c r="A150" s="40"/>
      <c r="B150" s="70"/>
      <c r="C150" s="83"/>
      <c r="D150" s="40"/>
      <c r="E150" s="84"/>
      <c r="G150" s="40"/>
      <c r="H150" s="259" t="e">
        <f t="shared" si="50"/>
        <v>#VALUE!</v>
      </c>
      <c r="I150" s="61"/>
      <c r="J150" s="61">
        <f t="shared" si="51"/>
        <v>0</v>
      </c>
      <c r="K150" s="275">
        <f>HLOOKUP(Selector!$C$6,Calculation!L$75:AD$94,9,FALSE)</f>
        <v>0</v>
      </c>
      <c r="L150" s="260" t="e">
        <f t="shared" si="52"/>
        <v>#VALUE!</v>
      </c>
      <c r="M150" s="260" t="e">
        <f t="shared" si="59"/>
        <v>#VALUE!</v>
      </c>
      <c r="N150" s="279" t="e">
        <f t="shared" si="60"/>
        <v>#VALUE!</v>
      </c>
      <c r="O150" s="260" t="e">
        <f t="shared" si="61"/>
        <v>#VALUE!</v>
      </c>
      <c r="P150" s="278" t="e">
        <f t="shared" si="64"/>
        <v>#VALUE!</v>
      </c>
      <c r="Q150" s="278" t="e">
        <f t="shared" si="65"/>
        <v>#VALUE!</v>
      </c>
      <c r="R150" s="279" t="e">
        <f t="shared" si="62"/>
        <v>#VALUE!</v>
      </c>
      <c r="S150" s="277" t="e">
        <f t="shared" si="54"/>
        <v>#VALUE!</v>
      </c>
      <c r="T150" s="277"/>
      <c r="U150" s="277" t="e">
        <f t="shared" si="56"/>
        <v>#VALUE!</v>
      </c>
      <c r="V150" s="61">
        <f t="shared" si="55"/>
        <v>0</v>
      </c>
      <c r="W150" s="259" t="e">
        <f t="shared" si="63"/>
        <v>#VALUE!</v>
      </c>
      <c r="X150" s="277" t="e">
        <f t="shared" si="58"/>
        <v>#VALUE!</v>
      </c>
      <c r="Y150" s="40"/>
    </row>
    <row r="151" spans="1:25" ht="16.5">
      <c r="A151" s="40"/>
      <c r="B151" s="67"/>
      <c r="C151" s="72"/>
      <c r="D151" s="40"/>
      <c r="E151" s="40"/>
      <c r="F151" s="40"/>
      <c r="G151" s="40"/>
      <c r="H151" s="259" t="e">
        <f t="shared" si="50"/>
        <v>#VALUE!</v>
      </c>
      <c r="I151" s="61"/>
      <c r="J151" s="61">
        <f t="shared" si="51"/>
        <v>0</v>
      </c>
      <c r="K151" s="275">
        <f>HLOOKUP(Selector!$C$6,Calculation!L$75:AD$94,10,FALSE)</f>
        <v>0</v>
      </c>
      <c r="L151" s="260" t="e">
        <f t="shared" si="52"/>
        <v>#VALUE!</v>
      </c>
      <c r="M151" s="260" t="e">
        <f t="shared" si="59"/>
        <v>#VALUE!</v>
      </c>
      <c r="N151" s="279" t="e">
        <f t="shared" si="60"/>
        <v>#VALUE!</v>
      </c>
      <c r="O151" s="260" t="e">
        <f t="shared" si="61"/>
        <v>#VALUE!</v>
      </c>
      <c r="P151" s="278" t="e">
        <f t="shared" si="64"/>
        <v>#VALUE!</v>
      </c>
      <c r="Q151" s="278" t="e">
        <f t="shared" si="65"/>
        <v>#VALUE!</v>
      </c>
      <c r="R151" s="279" t="e">
        <f t="shared" si="62"/>
        <v>#VALUE!</v>
      </c>
      <c r="S151" s="277" t="e">
        <f t="shared" si="54"/>
        <v>#VALUE!</v>
      </c>
      <c r="T151" s="277"/>
      <c r="U151" s="277" t="e">
        <f t="shared" si="56"/>
        <v>#VALUE!</v>
      </c>
      <c r="V151" s="61">
        <f t="shared" si="55"/>
        <v>0</v>
      </c>
      <c r="W151" s="259" t="e">
        <f t="shared" si="63"/>
        <v>#VALUE!</v>
      </c>
      <c r="X151" s="277" t="e">
        <f t="shared" si="58"/>
        <v>#VALUE!</v>
      </c>
      <c r="Y151" s="40"/>
    </row>
    <row r="152" spans="1:25" ht="16.5">
      <c r="A152" s="40"/>
      <c r="B152" s="40"/>
      <c r="C152" s="40"/>
      <c r="D152" s="40"/>
      <c r="E152" s="40"/>
      <c r="F152" s="40"/>
      <c r="G152" s="40"/>
      <c r="H152" s="259" t="e">
        <f t="shared" si="50"/>
        <v>#VALUE!</v>
      </c>
      <c r="I152" s="61"/>
      <c r="J152" s="61">
        <f t="shared" si="51"/>
        <v>0</v>
      </c>
      <c r="K152" s="275">
        <f>HLOOKUP(Selector!$C$6,Calculation!L$75:AD$94,11,FALSE)</f>
        <v>0</v>
      </c>
      <c r="L152" s="260" t="e">
        <f t="shared" si="52"/>
        <v>#VALUE!</v>
      </c>
      <c r="M152" s="260" t="e">
        <f t="shared" si="59"/>
        <v>#VALUE!</v>
      </c>
      <c r="N152" s="279" t="e">
        <f t="shared" si="60"/>
        <v>#VALUE!</v>
      </c>
      <c r="O152" s="260" t="e">
        <f t="shared" si="61"/>
        <v>#VALUE!</v>
      </c>
      <c r="P152" s="278" t="e">
        <f t="shared" si="64"/>
        <v>#VALUE!</v>
      </c>
      <c r="Q152" s="278" t="e">
        <f t="shared" si="65"/>
        <v>#VALUE!</v>
      </c>
      <c r="R152" s="279" t="e">
        <f t="shared" si="62"/>
        <v>#VALUE!</v>
      </c>
      <c r="S152" s="277" t="e">
        <f t="shared" si="54"/>
        <v>#VALUE!</v>
      </c>
      <c r="T152" s="277"/>
      <c r="U152" s="277" t="e">
        <f t="shared" si="56"/>
        <v>#VALUE!</v>
      </c>
      <c r="V152" s="61">
        <f t="shared" si="55"/>
        <v>0</v>
      </c>
      <c r="W152" s="259" t="e">
        <f t="shared" si="63"/>
        <v>#VALUE!</v>
      </c>
      <c r="X152" s="277" t="e">
        <f t="shared" si="58"/>
        <v>#VALUE!</v>
      </c>
      <c r="Y152" s="40"/>
    </row>
    <row r="153" spans="1:25" ht="16.5">
      <c r="A153" s="40"/>
      <c r="B153" s="40"/>
      <c r="C153" s="40"/>
      <c r="D153" s="40"/>
      <c r="E153" s="40"/>
      <c r="F153" s="40"/>
      <c r="G153" s="40"/>
      <c r="H153" s="259" t="e">
        <f t="shared" si="50"/>
        <v>#VALUE!</v>
      </c>
      <c r="I153" s="61"/>
      <c r="J153" s="61">
        <f t="shared" si="51"/>
        <v>0</v>
      </c>
      <c r="K153" s="275">
        <f>HLOOKUP(Selector!$C$6,Calculation!L$75:AD$94,12,FALSE)</f>
        <v>0</v>
      </c>
      <c r="L153" s="260" t="e">
        <f t="shared" si="52"/>
        <v>#VALUE!</v>
      </c>
      <c r="M153" s="260" t="e">
        <f t="shared" si="59"/>
        <v>#VALUE!</v>
      </c>
      <c r="N153" s="279" t="e">
        <f t="shared" si="60"/>
        <v>#VALUE!</v>
      </c>
      <c r="O153" s="260" t="e">
        <f t="shared" si="61"/>
        <v>#VALUE!</v>
      </c>
      <c r="P153" s="278" t="e">
        <f t="shared" si="64"/>
        <v>#VALUE!</v>
      </c>
      <c r="Q153" s="278" t="e">
        <f t="shared" si="65"/>
        <v>#VALUE!</v>
      </c>
      <c r="R153" s="279" t="e">
        <f t="shared" si="62"/>
        <v>#VALUE!</v>
      </c>
      <c r="S153" s="277" t="e">
        <f t="shared" si="54"/>
        <v>#VALUE!</v>
      </c>
      <c r="T153" s="277"/>
      <c r="U153" s="277" t="e">
        <f t="shared" si="56"/>
        <v>#VALUE!</v>
      </c>
      <c r="V153" s="61">
        <f t="shared" si="55"/>
        <v>0</v>
      </c>
      <c r="W153" s="259" t="e">
        <f t="shared" si="63"/>
        <v>#VALUE!</v>
      </c>
      <c r="X153" s="277" t="e">
        <f t="shared" si="58"/>
        <v>#VALUE!</v>
      </c>
      <c r="Y153" s="40"/>
    </row>
    <row r="154" spans="1:25" ht="16.5">
      <c r="A154" s="40"/>
      <c r="B154" s="40"/>
      <c r="C154" s="40"/>
      <c r="D154" s="40"/>
      <c r="E154" s="40"/>
      <c r="F154" s="40"/>
      <c r="G154" s="40"/>
      <c r="H154" s="259" t="e">
        <f t="shared" si="50"/>
        <v>#VALUE!</v>
      </c>
      <c r="I154" s="61"/>
      <c r="J154" s="61">
        <f t="shared" si="51"/>
        <v>0</v>
      </c>
      <c r="K154" s="275">
        <f>HLOOKUP(Selector!$C$6,Calculation!L$75:AD$94,13,FALSE)</f>
        <v>0</v>
      </c>
      <c r="L154" s="260" t="e">
        <f t="shared" si="52"/>
        <v>#VALUE!</v>
      </c>
      <c r="M154" s="260" t="e">
        <f t="shared" si="59"/>
        <v>#VALUE!</v>
      </c>
      <c r="N154" s="279" t="e">
        <f t="shared" si="60"/>
        <v>#VALUE!</v>
      </c>
      <c r="O154" s="260" t="e">
        <f t="shared" si="61"/>
        <v>#VALUE!</v>
      </c>
      <c r="P154" s="278" t="e">
        <f t="shared" si="64"/>
        <v>#VALUE!</v>
      </c>
      <c r="Q154" s="278" t="e">
        <f t="shared" si="65"/>
        <v>#VALUE!</v>
      </c>
      <c r="R154" s="279" t="e">
        <f t="shared" si="62"/>
        <v>#VALUE!</v>
      </c>
      <c r="S154" s="277" t="e">
        <f t="shared" si="54"/>
        <v>#VALUE!</v>
      </c>
      <c r="T154" s="277"/>
      <c r="U154" s="277" t="e">
        <f t="shared" si="56"/>
        <v>#VALUE!</v>
      </c>
      <c r="V154" s="61">
        <f t="shared" si="55"/>
        <v>0</v>
      </c>
      <c r="W154" s="259" t="e">
        <f t="shared" si="63"/>
        <v>#VALUE!</v>
      </c>
      <c r="X154" s="277" t="e">
        <f t="shared" si="58"/>
        <v>#VALUE!</v>
      </c>
      <c r="Y154" s="40"/>
    </row>
    <row r="155" spans="1:25" ht="16.5">
      <c r="A155" s="40"/>
      <c r="B155" s="40"/>
      <c r="C155" s="40"/>
      <c r="D155" s="40"/>
      <c r="E155" s="40"/>
      <c r="F155" s="40"/>
      <c r="G155" s="40"/>
      <c r="H155" s="259" t="e">
        <f t="shared" si="50"/>
        <v>#VALUE!</v>
      </c>
      <c r="I155" s="61"/>
      <c r="J155" s="61">
        <f t="shared" si="51"/>
        <v>0</v>
      </c>
      <c r="K155" s="275">
        <f>HLOOKUP(Selector!$C$6,Calculation!L$75:AD$94,14,FALSE)</f>
        <v>0</v>
      </c>
      <c r="L155" s="260" t="e">
        <f t="shared" si="52"/>
        <v>#VALUE!</v>
      </c>
      <c r="M155" s="260" t="e">
        <f t="shared" si="59"/>
        <v>#VALUE!</v>
      </c>
      <c r="N155" s="279" t="e">
        <f t="shared" si="60"/>
        <v>#VALUE!</v>
      </c>
      <c r="O155" s="260" t="e">
        <f t="shared" si="61"/>
        <v>#VALUE!</v>
      </c>
      <c r="P155" s="278" t="e">
        <f t="shared" si="64"/>
        <v>#VALUE!</v>
      </c>
      <c r="Q155" s="278" t="e">
        <f t="shared" si="65"/>
        <v>#VALUE!</v>
      </c>
      <c r="R155" s="279" t="e">
        <f t="shared" si="62"/>
        <v>#VALUE!</v>
      </c>
      <c r="S155" s="277" t="e">
        <f t="shared" si="54"/>
        <v>#VALUE!</v>
      </c>
      <c r="T155" s="277"/>
      <c r="U155" s="277" t="e">
        <f t="shared" si="56"/>
        <v>#VALUE!</v>
      </c>
      <c r="V155" s="61">
        <f t="shared" si="55"/>
        <v>0</v>
      </c>
      <c r="W155" s="259" t="e">
        <f t="shared" si="63"/>
        <v>#VALUE!</v>
      </c>
      <c r="X155" s="277" t="e">
        <f t="shared" si="58"/>
        <v>#VALUE!</v>
      </c>
      <c r="Y155" s="40"/>
    </row>
    <row r="156" spans="1:25" ht="16.5">
      <c r="A156" s="40"/>
      <c r="B156" s="40"/>
      <c r="C156" s="40"/>
      <c r="D156" s="40"/>
      <c r="E156" s="40"/>
      <c r="F156" s="40"/>
      <c r="G156" s="40"/>
      <c r="H156" s="259" t="e">
        <f t="shared" si="50"/>
        <v>#VALUE!</v>
      </c>
      <c r="I156" s="61"/>
      <c r="J156" s="61">
        <f t="shared" si="51"/>
        <v>0</v>
      </c>
      <c r="K156" s="275">
        <f>HLOOKUP(Selector!$C$6,Calculation!L$75:AD$94,15,FALSE)</f>
        <v>0</v>
      </c>
      <c r="L156" s="260" t="e">
        <f t="shared" si="52"/>
        <v>#VALUE!</v>
      </c>
      <c r="M156" s="260" t="e">
        <f t="shared" si="59"/>
        <v>#VALUE!</v>
      </c>
      <c r="N156" s="279" t="e">
        <f t="shared" si="60"/>
        <v>#VALUE!</v>
      </c>
      <c r="O156" s="260" t="e">
        <f t="shared" si="61"/>
        <v>#VALUE!</v>
      </c>
      <c r="P156" s="278" t="e">
        <f t="shared" si="64"/>
        <v>#VALUE!</v>
      </c>
      <c r="Q156" s="278" t="e">
        <f t="shared" si="65"/>
        <v>#VALUE!</v>
      </c>
      <c r="R156" s="279" t="e">
        <f t="shared" si="62"/>
        <v>#VALUE!</v>
      </c>
      <c r="S156" s="277" t="e">
        <f t="shared" si="54"/>
        <v>#VALUE!</v>
      </c>
      <c r="T156" s="277"/>
      <c r="U156" s="277" t="e">
        <f t="shared" si="56"/>
        <v>#VALUE!</v>
      </c>
      <c r="V156" s="275">
        <f t="shared" si="55"/>
        <v>0</v>
      </c>
      <c r="W156" s="259" t="e">
        <f t="shared" si="63"/>
        <v>#VALUE!</v>
      </c>
      <c r="X156" s="277" t="e">
        <f t="shared" si="58"/>
        <v>#VALUE!</v>
      </c>
      <c r="Y156" s="40"/>
    </row>
    <row r="157" spans="1:25" ht="16.5">
      <c r="A157" s="40"/>
      <c r="B157" s="40"/>
      <c r="C157" s="40"/>
      <c r="D157" s="40"/>
      <c r="E157" s="40"/>
      <c r="F157" s="40"/>
      <c r="G157" s="40"/>
      <c r="H157" s="259" t="e">
        <f t="shared" si="50"/>
        <v>#VALUE!</v>
      </c>
      <c r="I157" s="61"/>
      <c r="J157" s="61">
        <f t="shared" si="51"/>
        <v>0</v>
      </c>
      <c r="K157" s="275">
        <f>HLOOKUP(Selector!$C$6,Calculation!L$75:AD$94,16,FALSE)</f>
        <v>0</v>
      </c>
      <c r="L157" s="260" t="e">
        <f t="shared" si="52"/>
        <v>#VALUE!</v>
      </c>
      <c r="M157" s="260" t="e">
        <f t="shared" si="59"/>
        <v>#VALUE!</v>
      </c>
      <c r="N157" s="279" t="e">
        <f t="shared" si="60"/>
        <v>#VALUE!</v>
      </c>
      <c r="O157" s="260" t="e">
        <f t="shared" si="61"/>
        <v>#VALUE!</v>
      </c>
      <c r="P157" s="278" t="e">
        <f t="shared" si="64"/>
        <v>#VALUE!</v>
      </c>
      <c r="Q157" s="278" t="e">
        <f t="shared" si="65"/>
        <v>#VALUE!</v>
      </c>
      <c r="R157" s="279" t="e">
        <f t="shared" si="62"/>
        <v>#VALUE!</v>
      </c>
      <c r="S157" s="277" t="e">
        <f t="shared" si="54"/>
        <v>#VALUE!</v>
      </c>
      <c r="T157" s="277"/>
      <c r="U157" s="277" t="e">
        <f t="shared" si="56"/>
        <v>#VALUE!</v>
      </c>
      <c r="V157" s="61">
        <f t="shared" si="55"/>
        <v>0</v>
      </c>
      <c r="W157" s="259" t="e">
        <f t="shared" si="63"/>
        <v>#VALUE!</v>
      </c>
      <c r="X157" s="277" t="e">
        <f t="shared" si="58"/>
        <v>#VALUE!</v>
      </c>
      <c r="Y157" s="40"/>
    </row>
    <row r="158" spans="1:25" ht="16.5">
      <c r="A158" s="40"/>
      <c r="B158" s="40"/>
      <c r="C158" s="40"/>
      <c r="D158" s="40"/>
      <c r="E158" s="40"/>
      <c r="F158" s="40"/>
      <c r="G158" s="40"/>
      <c r="H158" s="259" t="e">
        <f t="shared" si="50"/>
        <v>#VALUE!</v>
      </c>
      <c r="I158" s="61"/>
      <c r="J158" s="61">
        <f t="shared" si="51"/>
        <v>0</v>
      </c>
      <c r="K158" s="275">
        <f>HLOOKUP(Selector!$C$6,Calculation!L$75:AD$94,17,FALSE)</f>
        <v>0</v>
      </c>
      <c r="L158" s="260" t="e">
        <f t="shared" si="52"/>
        <v>#VALUE!</v>
      </c>
      <c r="M158" s="260" t="e">
        <f t="shared" si="59"/>
        <v>#VALUE!</v>
      </c>
      <c r="N158" s="279" t="e">
        <f t="shared" si="60"/>
        <v>#VALUE!</v>
      </c>
      <c r="O158" s="260" t="e">
        <f t="shared" si="61"/>
        <v>#VALUE!</v>
      </c>
      <c r="P158" s="278" t="e">
        <f t="shared" si="64"/>
        <v>#VALUE!</v>
      </c>
      <c r="Q158" s="278" t="e">
        <f t="shared" si="65"/>
        <v>#VALUE!</v>
      </c>
      <c r="R158" s="279" t="e">
        <f t="shared" si="62"/>
        <v>#VALUE!</v>
      </c>
      <c r="S158" s="277" t="e">
        <f t="shared" si="54"/>
        <v>#VALUE!</v>
      </c>
      <c r="T158" s="277"/>
      <c r="U158" s="277" t="e">
        <f t="shared" si="56"/>
        <v>#VALUE!</v>
      </c>
      <c r="V158" s="61">
        <f t="shared" si="55"/>
        <v>0</v>
      </c>
      <c r="W158" s="259" t="e">
        <f t="shared" si="63"/>
        <v>#VALUE!</v>
      </c>
      <c r="X158" s="277" t="e">
        <f t="shared" si="58"/>
        <v>#VALUE!</v>
      </c>
      <c r="Y158" s="87"/>
    </row>
    <row r="159" spans="1:25" ht="16.5">
      <c r="A159" s="40"/>
      <c r="B159" s="40"/>
      <c r="C159" s="40"/>
      <c r="D159" s="40"/>
      <c r="E159" s="40"/>
      <c r="F159" s="40"/>
      <c r="G159" s="40"/>
      <c r="H159" s="259" t="e">
        <f t="shared" si="50"/>
        <v>#VALUE!</v>
      </c>
      <c r="I159" s="61"/>
      <c r="J159" s="61">
        <f t="shared" si="51"/>
        <v>0</v>
      </c>
      <c r="K159" s="275">
        <f>HLOOKUP(Selector!$C$6,Calculation!L$75:AD$94,18,FALSE)</f>
        <v>0</v>
      </c>
      <c r="L159" s="260" t="e">
        <f t="shared" si="52"/>
        <v>#VALUE!</v>
      </c>
      <c r="M159" s="260" t="e">
        <f t="shared" si="59"/>
        <v>#VALUE!</v>
      </c>
      <c r="N159" s="279" t="e">
        <f t="shared" si="60"/>
        <v>#VALUE!</v>
      </c>
      <c r="O159" s="260" t="e">
        <f t="shared" si="61"/>
        <v>#VALUE!</v>
      </c>
      <c r="P159" s="278" t="e">
        <f t="shared" si="64"/>
        <v>#VALUE!</v>
      </c>
      <c r="Q159" s="278" t="e">
        <f t="shared" si="65"/>
        <v>#VALUE!</v>
      </c>
      <c r="R159" s="279" t="e">
        <f t="shared" si="62"/>
        <v>#VALUE!</v>
      </c>
      <c r="S159" s="277" t="e">
        <f t="shared" si="54"/>
        <v>#VALUE!</v>
      </c>
      <c r="T159" s="277"/>
      <c r="U159" s="277" t="e">
        <f t="shared" si="56"/>
        <v>#VALUE!</v>
      </c>
      <c r="V159" s="61">
        <f t="shared" si="55"/>
        <v>0</v>
      </c>
      <c r="W159" s="259" t="e">
        <f t="shared" si="63"/>
        <v>#VALUE!</v>
      </c>
      <c r="X159" s="277" t="e">
        <f t="shared" si="58"/>
        <v>#VALUE!</v>
      </c>
      <c r="Y159" s="40"/>
    </row>
    <row r="160" spans="1:25" ht="16.5">
      <c r="A160" s="40"/>
      <c r="B160" s="40"/>
      <c r="C160" s="40"/>
      <c r="D160" s="40"/>
      <c r="E160" s="40"/>
      <c r="F160" s="40"/>
      <c r="G160" s="40"/>
      <c r="H160" s="259" t="e">
        <f t="shared" si="50"/>
        <v>#VALUE!</v>
      </c>
      <c r="I160" s="61"/>
      <c r="J160" s="61">
        <f t="shared" si="51"/>
        <v>0</v>
      </c>
      <c r="K160" s="275">
        <f>HLOOKUP(Selector!$C$6,Calculation!L$75:AD$94,19,FALSE)</f>
        <v>0</v>
      </c>
      <c r="L160" s="260" t="e">
        <f t="shared" si="52"/>
        <v>#VALUE!</v>
      </c>
      <c r="M160" s="260" t="e">
        <f t="shared" si="59"/>
        <v>#VALUE!</v>
      </c>
      <c r="N160" s="279" t="e">
        <f t="shared" si="60"/>
        <v>#VALUE!</v>
      </c>
      <c r="O160" s="260" t="e">
        <f t="shared" si="61"/>
        <v>#VALUE!</v>
      </c>
      <c r="P160" s="278" t="e">
        <f t="shared" si="64"/>
        <v>#VALUE!</v>
      </c>
      <c r="Q160" s="278" t="e">
        <f t="shared" si="65"/>
        <v>#VALUE!</v>
      </c>
      <c r="R160" s="279" t="e">
        <f t="shared" si="62"/>
        <v>#VALUE!</v>
      </c>
      <c r="S160" s="277" t="e">
        <f t="shared" si="54"/>
        <v>#VALUE!</v>
      </c>
      <c r="T160" s="277"/>
      <c r="U160" s="277" t="e">
        <f t="shared" si="56"/>
        <v>#VALUE!</v>
      </c>
      <c r="V160" s="61">
        <f t="shared" si="55"/>
        <v>0</v>
      </c>
      <c r="W160" s="259" t="e">
        <f t="shared" si="63"/>
        <v>#VALUE!</v>
      </c>
      <c r="X160" s="277" t="e">
        <f t="shared" si="58"/>
        <v>#VALUE!</v>
      </c>
      <c r="Y160" s="87"/>
    </row>
    <row r="161" spans="1:25" ht="16.5">
      <c r="A161" s="40"/>
      <c r="B161" s="40"/>
      <c r="C161" s="40"/>
      <c r="D161" s="40"/>
      <c r="E161" s="40"/>
      <c r="F161" s="40"/>
      <c r="G161" s="40"/>
      <c r="H161" s="259" t="e">
        <f t="shared" si="50"/>
        <v>#VALUE!</v>
      </c>
      <c r="I161" s="61"/>
      <c r="J161" s="61">
        <f t="shared" si="51"/>
        <v>0</v>
      </c>
      <c r="K161" s="275">
        <f>HLOOKUP(Selector!$C$6,Calculation!L$75:AD$94,20,FALSE)</f>
        <v>0</v>
      </c>
      <c r="L161" s="260" t="e">
        <f t="shared" si="52"/>
        <v>#VALUE!</v>
      </c>
      <c r="M161" s="260" t="e">
        <f t="shared" si="59"/>
        <v>#VALUE!</v>
      </c>
      <c r="N161" s="279" t="e">
        <f t="shared" si="60"/>
        <v>#VALUE!</v>
      </c>
      <c r="O161" s="260" t="e">
        <f t="shared" si="61"/>
        <v>#VALUE!</v>
      </c>
      <c r="P161" s="278" t="e">
        <f t="shared" si="64"/>
        <v>#VALUE!</v>
      </c>
      <c r="Q161" s="278" t="e">
        <f t="shared" si="65"/>
        <v>#VALUE!</v>
      </c>
      <c r="R161" s="279" t="e">
        <f t="shared" si="62"/>
        <v>#VALUE!</v>
      </c>
      <c r="S161" s="277" t="e">
        <f t="shared" si="54"/>
        <v>#VALUE!</v>
      </c>
      <c r="T161" s="277"/>
      <c r="U161" s="277" t="e">
        <f t="shared" si="56"/>
        <v>#VALUE!</v>
      </c>
      <c r="V161" s="61">
        <f t="shared" si="55"/>
        <v>0</v>
      </c>
      <c r="W161" s="259" t="e">
        <f t="shared" si="63"/>
        <v>#VALUE!</v>
      </c>
      <c r="X161" s="277" t="e">
        <f t="shared" si="58"/>
        <v>#VALUE!</v>
      </c>
      <c r="Y161" s="87"/>
    </row>
    <row r="162" spans="1:25" ht="16.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</row>
    <row r="163" spans="1:25" ht="16.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70"/>
      <c r="L163" s="70"/>
      <c r="M163" s="70"/>
      <c r="N163" s="40"/>
      <c r="O163" s="77"/>
      <c r="P163" s="73"/>
      <c r="Q163" s="73"/>
      <c r="R163" s="73"/>
      <c r="S163" s="73"/>
      <c r="T163" s="73"/>
      <c r="U163" s="40"/>
      <c r="V163" s="40"/>
      <c r="W163" s="40"/>
    </row>
    <row r="164" spans="1:25" ht="16.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77"/>
      <c r="P164" s="46"/>
      <c r="Q164" s="46"/>
      <c r="R164" s="46"/>
      <c r="S164" s="46"/>
      <c r="T164" s="46"/>
      <c r="U164" s="40"/>
      <c r="V164" s="40"/>
      <c r="W164" s="40"/>
    </row>
    <row r="165" spans="1:25" ht="16.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61"/>
      <c r="L165" s="259"/>
      <c r="M165" s="276"/>
      <c r="N165" s="61"/>
      <c r="O165" s="260"/>
      <c r="P165" s="73"/>
      <c r="Q165" s="73" t="s">
        <v>46</v>
      </c>
      <c r="R165" s="73" t="s">
        <v>4</v>
      </c>
      <c r="S165" s="73"/>
      <c r="T165" s="73"/>
      <c r="U165" s="73"/>
      <c r="V165" s="73" t="s">
        <v>5</v>
      </c>
      <c r="W165" s="73" t="s">
        <v>40</v>
      </c>
      <c r="X165" s="60" t="s">
        <v>58</v>
      </c>
    </row>
    <row r="166" spans="1:25" ht="16.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61" t="s">
        <v>24</v>
      </c>
      <c r="L166" s="686"/>
      <c r="M166" s="276"/>
      <c r="N166" s="259" t="s">
        <v>26</v>
      </c>
      <c r="O166" s="260"/>
      <c r="P166" s="73"/>
      <c r="Q166" s="73" t="s">
        <v>3</v>
      </c>
      <c r="R166" s="73" t="s">
        <v>25</v>
      </c>
      <c r="S166" s="73"/>
      <c r="T166" s="73" t="s">
        <v>26</v>
      </c>
      <c r="U166" s="73" t="s">
        <v>41</v>
      </c>
      <c r="V166" s="73" t="s">
        <v>3</v>
      </c>
      <c r="W166" s="73" t="s">
        <v>42</v>
      </c>
      <c r="X166" s="60" t="s">
        <v>59</v>
      </c>
    </row>
    <row r="167" spans="1:25" ht="16.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61"/>
      <c r="L167" s="259">
        <f>$D$53*I77</f>
        <v>300</v>
      </c>
      <c r="M167" s="261">
        <f t="shared" ref="M167:M184" si="66">M121</f>
        <v>709.99999999999932</v>
      </c>
      <c r="N167" s="262">
        <f>IF(L167&gt;=M167,M167,L167)</f>
        <v>300</v>
      </c>
      <c r="O167" s="260"/>
      <c r="P167" s="61" t="str">
        <f t="shared" ref="P167:P184" si="67">P121</f>
        <v>CLU7B2</v>
      </c>
      <c r="Q167" s="73" t="b">
        <f>AND(D$55&lt;=$E$100,C$55&gt;=$E$100)</f>
        <v>1</v>
      </c>
      <c r="R167" s="61">
        <f>C$53</f>
        <v>5</v>
      </c>
      <c r="S167" s="61"/>
      <c r="T167" s="262">
        <f t="shared" ref="T167:T184" si="68">N167/I77</f>
        <v>300</v>
      </c>
      <c r="U167" s="73" t="b">
        <f t="shared" ref="U167:U184" si="69">AND(AND(Q167,R167&lt;=L144,T167&gt;=L144),X167)</f>
        <v>1</v>
      </c>
      <c r="V167" s="73" t="b">
        <f t="shared" ref="V167:V184" si="70">AND(Q167,D$57&lt;X144,C$57&gt;X144)</f>
        <v>1</v>
      </c>
      <c r="W167" s="73" t="b">
        <f>AND(U167,Q167,V167)</f>
        <v>1</v>
      </c>
      <c r="X167" s="60" t="b">
        <f t="shared" ref="X167:X184" si="71">IF(IFERROR(M144,FALSE),TRUE)</f>
        <v>1</v>
      </c>
    </row>
    <row r="168" spans="1:25" ht="16.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61"/>
      <c r="L168" s="259">
        <f t="shared" ref="L168:L172" si="72">$D$53*I78</f>
        <v>900</v>
      </c>
      <c r="M168" s="261">
        <f t="shared" si="66"/>
        <v>2129.9999999999982</v>
      </c>
      <c r="N168" s="262">
        <f t="shared" ref="N168:N183" si="73">IF(L168&gt;=M168,M168,L168)</f>
        <v>900</v>
      </c>
      <c r="O168" s="260"/>
      <c r="P168" s="61" t="str">
        <f t="shared" si="67"/>
        <v>CLU7A2</v>
      </c>
      <c r="Q168" s="73" t="b">
        <f>AND(D$55&lt;=$F$100,C$55&gt;=$F$100)</f>
        <v>1</v>
      </c>
      <c r="R168" s="61">
        <f t="shared" ref="R168:R184" si="74">C$53</f>
        <v>5</v>
      </c>
      <c r="S168" s="61"/>
      <c r="T168" s="262">
        <f t="shared" si="68"/>
        <v>300</v>
      </c>
      <c r="U168" s="73" t="b">
        <f t="shared" si="69"/>
        <v>1</v>
      </c>
      <c r="V168" s="73" t="b">
        <f t="shared" si="70"/>
        <v>1</v>
      </c>
      <c r="W168" s="73" t="b">
        <f t="shared" ref="W168:W184" si="75">AND(U168,Q168,V168)</f>
        <v>1</v>
      </c>
      <c r="X168" s="60" t="b">
        <f t="shared" si="71"/>
        <v>1</v>
      </c>
    </row>
    <row r="169" spans="1:25" ht="16.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61"/>
      <c r="L169" s="259">
        <f t="shared" si="72"/>
        <v>300</v>
      </c>
      <c r="M169" s="261">
        <f t="shared" si="66"/>
        <v>709.99999999999932</v>
      </c>
      <c r="N169" s="262">
        <f t="shared" si="73"/>
        <v>300</v>
      </c>
      <c r="O169" s="260"/>
      <c r="P169" s="61" t="str">
        <f t="shared" si="67"/>
        <v>CLU7A2</v>
      </c>
      <c r="Q169" s="73" t="b">
        <f t="shared" ref="Q169:Q184" si="76">AND(D$55&lt;=$F$100,C$55&gt;=$F$100)</f>
        <v>1</v>
      </c>
      <c r="R169" s="61">
        <f t="shared" si="74"/>
        <v>5</v>
      </c>
      <c r="S169" s="61"/>
      <c r="T169" s="262">
        <f t="shared" si="68"/>
        <v>300</v>
      </c>
      <c r="U169" s="73" t="b">
        <f t="shared" si="69"/>
        <v>1</v>
      </c>
      <c r="V169" s="73" t="b">
        <f t="shared" si="70"/>
        <v>1</v>
      </c>
      <c r="W169" s="73" t="b">
        <f t="shared" si="75"/>
        <v>1</v>
      </c>
      <c r="X169" s="60" t="b">
        <f t="shared" si="71"/>
        <v>1</v>
      </c>
    </row>
    <row r="170" spans="1:25" ht="16.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61"/>
      <c r="L170" s="259">
        <f t="shared" si="72"/>
        <v>600</v>
      </c>
      <c r="M170" s="261">
        <f t="shared" si="66"/>
        <v>1037.1428571428569</v>
      </c>
      <c r="N170" s="262">
        <f t="shared" si="73"/>
        <v>600</v>
      </c>
      <c r="O170" s="260"/>
      <c r="P170" s="61" t="str">
        <f t="shared" si="67"/>
        <v>CLU702</v>
      </c>
      <c r="Q170" s="73" t="b">
        <f t="shared" si="76"/>
        <v>1</v>
      </c>
      <c r="R170" s="61">
        <f t="shared" si="74"/>
        <v>5</v>
      </c>
      <c r="S170" s="61"/>
      <c r="T170" s="262">
        <f t="shared" si="68"/>
        <v>300</v>
      </c>
      <c r="U170" s="73" t="b">
        <f t="shared" si="69"/>
        <v>1</v>
      </c>
      <c r="V170" s="73" t="b">
        <f t="shared" si="70"/>
        <v>1</v>
      </c>
      <c r="W170" s="73" t="b">
        <f t="shared" si="75"/>
        <v>1</v>
      </c>
      <c r="X170" s="60" t="b">
        <f t="shared" si="71"/>
        <v>1</v>
      </c>
    </row>
    <row r="171" spans="1:25" ht="16.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61"/>
      <c r="L171" s="259">
        <f t="shared" si="72"/>
        <v>1200</v>
      </c>
      <c r="M171" s="261">
        <f t="shared" si="66"/>
        <v>1977.1428571428564</v>
      </c>
      <c r="N171" s="262">
        <f t="shared" si="73"/>
        <v>1200</v>
      </c>
      <c r="O171" s="61"/>
      <c r="P171" s="61" t="str">
        <f t="shared" si="67"/>
        <v>CLU712</v>
      </c>
      <c r="Q171" s="73" t="b">
        <f t="shared" si="76"/>
        <v>1</v>
      </c>
      <c r="R171" s="61">
        <f t="shared" si="74"/>
        <v>5</v>
      </c>
      <c r="S171" s="61"/>
      <c r="T171" s="262">
        <f t="shared" si="68"/>
        <v>300</v>
      </c>
      <c r="U171" s="73" t="b">
        <f t="shared" si="69"/>
        <v>1</v>
      </c>
      <c r="V171" s="73" t="b">
        <f t="shared" si="70"/>
        <v>1</v>
      </c>
      <c r="W171" s="73" t="b">
        <f t="shared" si="75"/>
        <v>1</v>
      </c>
      <c r="X171" s="60" t="b">
        <f t="shared" si="71"/>
        <v>1</v>
      </c>
    </row>
    <row r="172" spans="1:25" ht="16.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61"/>
      <c r="L172" s="259" t="e">
        <f t="shared" si="72"/>
        <v>#VALUE!</v>
      </c>
      <c r="M172" s="261">
        <f t="shared" si="66"/>
        <v>0</v>
      </c>
      <c r="N172" s="262" t="e">
        <f t="shared" si="73"/>
        <v>#VALUE!</v>
      </c>
      <c r="O172" s="61"/>
      <c r="P172" s="61">
        <f t="shared" si="67"/>
        <v>0</v>
      </c>
      <c r="Q172" s="73" t="b">
        <f t="shared" si="76"/>
        <v>1</v>
      </c>
      <c r="R172" s="61">
        <f t="shared" si="74"/>
        <v>5</v>
      </c>
      <c r="S172" s="61"/>
      <c r="T172" s="262" t="e">
        <f t="shared" si="68"/>
        <v>#VALUE!</v>
      </c>
      <c r="U172" s="73" t="e">
        <f t="shared" si="69"/>
        <v>#VALUE!</v>
      </c>
      <c r="V172" s="73" t="e">
        <f t="shared" si="70"/>
        <v>#VALUE!</v>
      </c>
      <c r="W172" s="73" t="e">
        <f t="shared" si="75"/>
        <v>#VALUE!</v>
      </c>
      <c r="X172" s="60" t="b">
        <f t="shared" si="71"/>
        <v>0</v>
      </c>
    </row>
    <row r="173" spans="1:25" ht="16.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61"/>
      <c r="L173" s="259" t="e">
        <f t="shared" ref="L173:L184" si="77">350*I83</f>
        <v>#VALUE!</v>
      </c>
      <c r="M173" s="261">
        <f t="shared" si="66"/>
        <v>0</v>
      </c>
      <c r="N173" s="262" t="e">
        <f t="shared" si="73"/>
        <v>#VALUE!</v>
      </c>
      <c r="O173" s="61"/>
      <c r="P173" s="61">
        <f t="shared" si="67"/>
        <v>0</v>
      </c>
      <c r="Q173" s="73" t="b">
        <f t="shared" si="76"/>
        <v>1</v>
      </c>
      <c r="R173" s="61">
        <f t="shared" si="74"/>
        <v>5</v>
      </c>
      <c r="S173" s="61"/>
      <c r="T173" s="262" t="e">
        <f t="shared" si="68"/>
        <v>#VALUE!</v>
      </c>
      <c r="U173" s="73" t="e">
        <f t="shared" si="69"/>
        <v>#VALUE!</v>
      </c>
      <c r="V173" s="73" t="e">
        <f t="shared" si="70"/>
        <v>#VALUE!</v>
      </c>
      <c r="W173" s="73" t="e">
        <f t="shared" si="75"/>
        <v>#VALUE!</v>
      </c>
      <c r="X173" s="60" t="b">
        <f t="shared" si="71"/>
        <v>0</v>
      </c>
    </row>
    <row r="174" spans="1:25" ht="16.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61"/>
      <c r="L174" s="259" t="e">
        <f t="shared" si="77"/>
        <v>#VALUE!</v>
      </c>
      <c r="M174" s="261">
        <f t="shared" si="66"/>
        <v>0</v>
      </c>
      <c r="N174" s="262" t="e">
        <f t="shared" si="73"/>
        <v>#VALUE!</v>
      </c>
      <c r="O174" s="61"/>
      <c r="P174" s="61">
        <f t="shared" si="67"/>
        <v>0</v>
      </c>
      <c r="Q174" s="73" t="b">
        <f t="shared" si="76"/>
        <v>1</v>
      </c>
      <c r="R174" s="61">
        <f t="shared" si="74"/>
        <v>5</v>
      </c>
      <c r="S174" s="61"/>
      <c r="T174" s="262" t="e">
        <f t="shared" si="68"/>
        <v>#VALUE!</v>
      </c>
      <c r="U174" s="73" t="e">
        <f t="shared" si="69"/>
        <v>#VALUE!</v>
      </c>
      <c r="V174" s="73" t="e">
        <f t="shared" si="70"/>
        <v>#VALUE!</v>
      </c>
      <c r="W174" s="73" t="e">
        <f t="shared" si="75"/>
        <v>#VALUE!</v>
      </c>
      <c r="X174" s="60" t="b">
        <f t="shared" si="71"/>
        <v>0</v>
      </c>
    </row>
    <row r="175" spans="1:25" ht="16.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61"/>
      <c r="L175" s="259" t="e">
        <f t="shared" si="77"/>
        <v>#VALUE!</v>
      </c>
      <c r="M175" s="261">
        <f t="shared" si="66"/>
        <v>0</v>
      </c>
      <c r="N175" s="262" t="e">
        <f t="shared" si="73"/>
        <v>#VALUE!</v>
      </c>
      <c r="O175" s="61"/>
      <c r="P175" s="61">
        <f t="shared" si="67"/>
        <v>0</v>
      </c>
      <c r="Q175" s="73" t="b">
        <f t="shared" si="76"/>
        <v>1</v>
      </c>
      <c r="R175" s="61">
        <f t="shared" si="74"/>
        <v>5</v>
      </c>
      <c r="S175" s="61"/>
      <c r="T175" s="262" t="e">
        <f t="shared" si="68"/>
        <v>#VALUE!</v>
      </c>
      <c r="U175" s="73" t="e">
        <f t="shared" si="69"/>
        <v>#VALUE!</v>
      </c>
      <c r="V175" s="73" t="e">
        <f t="shared" si="70"/>
        <v>#VALUE!</v>
      </c>
      <c r="W175" s="73" t="e">
        <f t="shared" si="75"/>
        <v>#VALUE!</v>
      </c>
      <c r="X175" s="60" t="b">
        <f t="shared" si="71"/>
        <v>0</v>
      </c>
    </row>
    <row r="176" spans="1:25" ht="16.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61"/>
      <c r="L176" s="259" t="e">
        <f t="shared" si="77"/>
        <v>#VALUE!</v>
      </c>
      <c r="M176" s="261">
        <f t="shared" si="66"/>
        <v>0</v>
      </c>
      <c r="N176" s="262" t="e">
        <f t="shared" si="73"/>
        <v>#VALUE!</v>
      </c>
      <c r="O176" s="61"/>
      <c r="P176" s="61">
        <f t="shared" si="67"/>
        <v>0</v>
      </c>
      <c r="Q176" s="73" t="b">
        <f t="shared" si="76"/>
        <v>1</v>
      </c>
      <c r="R176" s="61">
        <f t="shared" si="74"/>
        <v>5</v>
      </c>
      <c r="S176" s="61"/>
      <c r="T176" s="262" t="e">
        <f t="shared" si="68"/>
        <v>#VALUE!</v>
      </c>
      <c r="U176" s="73" t="e">
        <f t="shared" si="69"/>
        <v>#VALUE!</v>
      </c>
      <c r="V176" s="73" t="e">
        <f t="shared" si="70"/>
        <v>#VALUE!</v>
      </c>
      <c r="W176" s="73" t="e">
        <f t="shared" si="75"/>
        <v>#VALUE!</v>
      </c>
      <c r="X176" s="60" t="b">
        <f t="shared" si="71"/>
        <v>0</v>
      </c>
    </row>
    <row r="177" spans="1:24" ht="16.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61"/>
      <c r="L177" s="259" t="e">
        <f t="shared" si="77"/>
        <v>#VALUE!</v>
      </c>
      <c r="M177" s="261">
        <f t="shared" si="66"/>
        <v>0</v>
      </c>
      <c r="N177" s="262" t="e">
        <f t="shared" si="73"/>
        <v>#VALUE!</v>
      </c>
      <c r="O177" s="61"/>
      <c r="P177" s="61">
        <f t="shared" si="67"/>
        <v>0</v>
      </c>
      <c r="Q177" s="73" t="b">
        <f t="shared" si="76"/>
        <v>1</v>
      </c>
      <c r="R177" s="61">
        <f t="shared" si="74"/>
        <v>5</v>
      </c>
      <c r="S177" s="61"/>
      <c r="T177" s="262" t="e">
        <f t="shared" si="68"/>
        <v>#VALUE!</v>
      </c>
      <c r="U177" s="73" t="e">
        <f t="shared" si="69"/>
        <v>#VALUE!</v>
      </c>
      <c r="V177" s="73" t="e">
        <f t="shared" si="70"/>
        <v>#VALUE!</v>
      </c>
      <c r="W177" s="73" t="e">
        <f t="shared" si="75"/>
        <v>#VALUE!</v>
      </c>
      <c r="X177" s="60" t="b">
        <f t="shared" si="71"/>
        <v>0</v>
      </c>
    </row>
    <row r="178" spans="1:24" ht="16.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61"/>
      <c r="L178" s="259" t="e">
        <f t="shared" si="77"/>
        <v>#VALUE!</v>
      </c>
      <c r="M178" s="261">
        <f t="shared" si="66"/>
        <v>0</v>
      </c>
      <c r="N178" s="262" t="e">
        <f t="shared" si="73"/>
        <v>#VALUE!</v>
      </c>
      <c r="O178" s="61"/>
      <c r="P178" s="61">
        <f t="shared" si="67"/>
        <v>0</v>
      </c>
      <c r="Q178" s="73" t="b">
        <f t="shared" si="76"/>
        <v>1</v>
      </c>
      <c r="R178" s="61">
        <f t="shared" si="74"/>
        <v>5</v>
      </c>
      <c r="S178" s="61"/>
      <c r="T178" s="262" t="e">
        <f t="shared" si="68"/>
        <v>#VALUE!</v>
      </c>
      <c r="U178" s="73" t="e">
        <f t="shared" si="69"/>
        <v>#VALUE!</v>
      </c>
      <c r="V178" s="73" t="e">
        <f t="shared" si="70"/>
        <v>#VALUE!</v>
      </c>
      <c r="W178" s="73" t="e">
        <f t="shared" si="75"/>
        <v>#VALUE!</v>
      </c>
      <c r="X178" s="60" t="b">
        <f t="shared" si="71"/>
        <v>0</v>
      </c>
    </row>
    <row r="179" spans="1:24" ht="16.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61"/>
      <c r="L179" s="259" t="e">
        <f t="shared" si="77"/>
        <v>#VALUE!</v>
      </c>
      <c r="M179" s="261">
        <f t="shared" si="66"/>
        <v>0</v>
      </c>
      <c r="N179" s="262" t="e">
        <f t="shared" si="73"/>
        <v>#VALUE!</v>
      </c>
      <c r="O179" s="61"/>
      <c r="P179" s="61">
        <f t="shared" si="67"/>
        <v>0</v>
      </c>
      <c r="Q179" s="73" t="b">
        <f t="shared" si="76"/>
        <v>1</v>
      </c>
      <c r="R179" s="61">
        <f t="shared" si="74"/>
        <v>5</v>
      </c>
      <c r="S179" s="61"/>
      <c r="T179" s="262" t="e">
        <f t="shared" si="68"/>
        <v>#VALUE!</v>
      </c>
      <c r="U179" s="73" t="e">
        <f t="shared" si="69"/>
        <v>#VALUE!</v>
      </c>
      <c r="V179" s="73" t="e">
        <f t="shared" si="70"/>
        <v>#VALUE!</v>
      </c>
      <c r="W179" s="73" t="e">
        <f t="shared" si="75"/>
        <v>#VALUE!</v>
      </c>
      <c r="X179" s="60" t="b">
        <f t="shared" si="71"/>
        <v>0</v>
      </c>
    </row>
    <row r="180" spans="1:24" ht="16.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61"/>
      <c r="L180" s="259" t="e">
        <f t="shared" si="77"/>
        <v>#VALUE!</v>
      </c>
      <c r="M180" s="261">
        <f t="shared" si="66"/>
        <v>0</v>
      </c>
      <c r="N180" s="262" t="e">
        <f t="shared" si="73"/>
        <v>#VALUE!</v>
      </c>
      <c r="O180" s="61"/>
      <c r="P180" s="61">
        <f t="shared" si="67"/>
        <v>0</v>
      </c>
      <c r="Q180" s="73" t="b">
        <f t="shared" si="76"/>
        <v>1</v>
      </c>
      <c r="R180" s="61">
        <f t="shared" si="74"/>
        <v>5</v>
      </c>
      <c r="S180" s="61"/>
      <c r="T180" s="262" t="e">
        <f t="shared" si="68"/>
        <v>#VALUE!</v>
      </c>
      <c r="U180" s="73" t="e">
        <f t="shared" si="69"/>
        <v>#VALUE!</v>
      </c>
      <c r="V180" s="73" t="e">
        <f t="shared" si="70"/>
        <v>#VALUE!</v>
      </c>
      <c r="W180" s="73" t="e">
        <f t="shared" si="75"/>
        <v>#VALUE!</v>
      </c>
      <c r="X180" s="60" t="b">
        <f t="shared" si="71"/>
        <v>0</v>
      </c>
    </row>
    <row r="181" spans="1:24" ht="16.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61"/>
      <c r="L181" s="259" t="e">
        <f t="shared" si="77"/>
        <v>#VALUE!</v>
      </c>
      <c r="M181" s="261">
        <f t="shared" si="66"/>
        <v>0</v>
      </c>
      <c r="N181" s="262" t="e">
        <f t="shared" si="73"/>
        <v>#VALUE!</v>
      </c>
      <c r="O181" s="61"/>
      <c r="P181" s="61">
        <f t="shared" si="67"/>
        <v>0</v>
      </c>
      <c r="Q181" s="73" t="b">
        <f t="shared" si="76"/>
        <v>1</v>
      </c>
      <c r="R181" s="61">
        <f t="shared" si="74"/>
        <v>5</v>
      </c>
      <c r="S181" s="61"/>
      <c r="T181" s="262" t="e">
        <f t="shared" si="68"/>
        <v>#VALUE!</v>
      </c>
      <c r="U181" s="73" t="e">
        <f t="shared" si="69"/>
        <v>#VALUE!</v>
      </c>
      <c r="V181" s="73" t="e">
        <f t="shared" si="70"/>
        <v>#VALUE!</v>
      </c>
      <c r="W181" s="73" t="e">
        <f t="shared" si="75"/>
        <v>#VALUE!</v>
      </c>
      <c r="X181" s="60" t="b">
        <f t="shared" si="71"/>
        <v>0</v>
      </c>
    </row>
    <row r="182" spans="1:24" ht="16.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61"/>
      <c r="L182" s="259" t="e">
        <f t="shared" si="77"/>
        <v>#VALUE!</v>
      </c>
      <c r="M182" s="261">
        <f t="shared" si="66"/>
        <v>0</v>
      </c>
      <c r="N182" s="262" t="e">
        <f t="shared" si="73"/>
        <v>#VALUE!</v>
      </c>
      <c r="O182" s="61"/>
      <c r="P182" s="61">
        <f t="shared" si="67"/>
        <v>0</v>
      </c>
      <c r="Q182" s="73" t="b">
        <f t="shared" si="76"/>
        <v>1</v>
      </c>
      <c r="R182" s="61">
        <f t="shared" si="74"/>
        <v>5</v>
      </c>
      <c r="S182" s="61"/>
      <c r="T182" s="262" t="e">
        <f t="shared" si="68"/>
        <v>#VALUE!</v>
      </c>
      <c r="U182" s="73" t="e">
        <f t="shared" si="69"/>
        <v>#VALUE!</v>
      </c>
      <c r="V182" s="73" t="e">
        <f t="shared" si="70"/>
        <v>#VALUE!</v>
      </c>
      <c r="W182" s="73" t="e">
        <f t="shared" si="75"/>
        <v>#VALUE!</v>
      </c>
      <c r="X182" s="60" t="b">
        <f t="shared" si="71"/>
        <v>0</v>
      </c>
    </row>
    <row r="183" spans="1:24" ht="16.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61"/>
      <c r="L183" s="259" t="e">
        <f t="shared" si="77"/>
        <v>#VALUE!</v>
      </c>
      <c r="M183" s="261">
        <f t="shared" si="66"/>
        <v>0</v>
      </c>
      <c r="N183" s="262" t="e">
        <f t="shared" si="73"/>
        <v>#VALUE!</v>
      </c>
      <c r="O183" s="61"/>
      <c r="P183" s="61">
        <f t="shared" si="67"/>
        <v>0</v>
      </c>
      <c r="Q183" s="73" t="b">
        <f t="shared" si="76"/>
        <v>1</v>
      </c>
      <c r="R183" s="61">
        <f t="shared" si="74"/>
        <v>5</v>
      </c>
      <c r="S183" s="61"/>
      <c r="T183" s="262" t="e">
        <f t="shared" si="68"/>
        <v>#VALUE!</v>
      </c>
      <c r="U183" s="73" t="e">
        <f t="shared" si="69"/>
        <v>#VALUE!</v>
      </c>
      <c r="V183" s="73" t="e">
        <f t="shared" si="70"/>
        <v>#VALUE!</v>
      </c>
      <c r="W183" s="73" t="e">
        <f t="shared" si="75"/>
        <v>#VALUE!</v>
      </c>
      <c r="X183" s="60" t="b">
        <f t="shared" si="71"/>
        <v>0</v>
      </c>
    </row>
    <row r="184" spans="1:24" ht="16.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61"/>
      <c r="L184" s="259" t="e">
        <f t="shared" si="77"/>
        <v>#VALUE!</v>
      </c>
      <c r="M184" s="261">
        <f t="shared" si="66"/>
        <v>0</v>
      </c>
      <c r="N184" s="262" t="e">
        <f>IF(L184&gt;=M184,M184,L184)</f>
        <v>#VALUE!</v>
      </c>
      <c r="O184" s="61"/>
      <c r="P184" s="61">
        <f t="shared" si="67"/>
        <v>0</v>
      </c>
      <c r="Q184" s="73" t="b">
        <f t="shared" si="76"/>
        <v>1</v>
      </c>
      <c r="R184" s="61">
        <f t="shared" si="74"/>
        <v>5</v>
      </c>
      <c r="S184" s="61"/>
      <c r="T184" s="262" t="e">
        <f t="shared" si="68"/>
        <v>#VALUE!</v>
      </c>
      <c r="U184" s="73" t="e">
        <f t="shared" si="69"/>
        <v>#VALUE!</v>
      </c>
      <c r="V184" s="73" t="e">
        <f t="shared" si="70"/>
        <v>#VALUE!</v>
      </c>
      <c r="W184" s="73" t="e">
        <f t="shared" si="75"/>
        <v>#VALUE!</v>
      </c>
      <c r="X184" s="60" t="b">
        <f t="shared" si="71"/>
        <v>0</v>
      </c>
    </row>
  </sheetData>
  <sheetProtection password="A7EA" sheet="1" objects="1" scenarios="1" selectLockedCells="1" selectUnlockedCells="1"/>
  <phoneticPr fontId="7"/>
  <conditionalFormatting sqref="C32:P32">
    <cfRule type="cellIs" dxfId="1" priority="2" stopIfTrue="1" operator="equal">
      <formula>"Not Applicable"</formula>
    </cfRule>
  </conditionalFormatting>
  <conditionalFormatting sqref="C33:P49">
    <cfRule type="cellIs" dxfId="0" priority="1" stopIfTrue="1" operator="equal">
      <formula>"Not Applicable"</formula>
    </cfRule>
  </conditionalFormatting>
  <pageMargins left="0.19685039370078741" right="0.19685039370078741" top="0.19685039370078741" bottom="0.19685039370078741" header="0.51181102362204722" footer="0.51181102362204722"/>
  <pageSetup paperSize="9" scale="1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34"/>
  <sheetViews>
    <sheetView workbookViewId="0">
      <selection activeCell="F12" sqref="F12"/>
    </sheetView>
  </sheetViews>
  <sheetFormatPr defaultRowHeight="15"/>
  <cols>
    <col min="1" max="9" width="9.125" style="28" customWidth="1"/>
    <col min="10" max="10" width="9" style="28"/>
    <col min="11" max="11" width="9.125" style="28" customWidth="1"/>
    <col min="12" max="16384" width="9" style="28"/>
  </cols>
  <sheetData>
    <row r="1" spans="1:24">
      <c r="D1" s="88"/>
      <c r="F1" s="30"/>
      <c r="H1" s="30"/>
      <c r="I1" s="31"/>
      <c r="J1" s="33"/>
      <c r="K1" s="31"/>
      <c r="O1" s="756"/>
      <c r="S1" s="28">
        <v>30.68032812500001</v>
      </c>
      <c r="X1" s="28">
        <v>145.55733333333333</v>
      </c>
    </row>
    <row r="2" spans="1:24">
      <c r="B2" s="183" t="s">
        <v>110</v>
      </c>
      <c r="O2" s="693">
        <f>AVERAGE(O3:Q34)</f>
        <v>12.403921875000002</v>
      </c>
      <c r="S2" s="693">
        <f>AVERAGE(S3:V34)</f>
        <v>30.68032812500001</v>
      </c>
      <c r="X2" s="693">
        <f>AVERAGE(X3:X17)</f>
        <v>145.55733333333333</v>
      </c>
    </row>
    <row r="3" spans="1:24">
      <c r="B3" s="183" t="s">
        <v>240</v>
      </c>
      <c r="F3" s="183" t="s">
        <v>176</v>
      </c>
      <c r="O3" s="32">
        <v>12.4216</v>
      </c>
      <c r="P3" s="32">
        <v>12.4489</v>
      </c>
      <c r="Q3" s="32">
        <v>12.3583</v>
      </c>
      <c r="S3" s="28">
        <v>30.585000000000001</v>
      </c>
      <c r="T3" s="28">
        <v>30.728999999999999</v>
      </c>
      <c r="U3" s="28">
        <v>30.79</v>
      </c>
      <c r="V3" s="28">
        <v>30.742000000000001</v>
      </c>
      <c r="X3" s="28">
        <v>145.85</v>
      </c>
    </row>
    <row r="4" spans="1:24">
      <c r="B4" s="229" t="s">
        <v>60</v>
      </c>
      <c r="C4" s="229" t="s">
        <v>61</v>
      </c>
      <c r="D4" s="234" t="s">
        <v>175</v>
      </c>
      <c r="F4" s="229" t="s">
        <v>60</v>
      </c>
      <c r="G4" s="229" t="s">
        <v>61</v>
      </c>
      <c r="H4" s="234" t="s">
        <v>175</v>
      </c>
      <c r="O4" s="32">
        <v>12.425599999999999</v>
      </c>
      <c r="P4" s="32">
        <v>12.3894</v>
      </c>
      <c r="Q4" s="32">
        <v>12.3711</v>
      </c>
      <c r="S4" s="28">
        <v>30.748999999999999</v>
      </c>
      <c r="T4" s="28">
        <v>30.62</v>
      </c>
      <c r="U4" s="28">
        <v>30.757000000000001</v>
      </c>
      <c r="V4" s="28">
        <v>30.780999999999999</v>
      </c>
      <c r="X4" s="28">
        <v>145.66</v>
      </c>
    </row>
    <row r="5" spans="1:24">
      <c r="B5" s="230">
        <f>'代表特性(C4)'!G4</f>
        <v>2.7366883102613162E-6</v>
      </c>
      <c r="C5" s="230">
        <f>'代表特性(C4)'!F4</f>
        <v>-1.115215453639155E-8</v>
      </c>
      <c r="D5" s="231">
        <f>'代表特性(C4)'!E4</f>
        <v>-1.5740768923686901E-6</v>
      </c>
      <c r="F5" s="230">
        <f>'代表特性(C9)'!G4</f>
        <v>1.4835966164305514E-6</v>
      </c>
      <c r="G5" s="230">
        <f>'代表特性(C9)'!F4</f>
        <v>-1.8910606314372557E-10</v>
      </c>
      <c r="H5" s="231">
        <f>'代表特性(C9)'!E4</f>
        <v>-5.5791916066851983E-7</v>
      </c>
      <c r="O5" s="32">
        <v>12.433</v>
      </c>
      <c r="P5" s="32">
        <v>12.482200000000001</v>
      </c>
      <c r="Q5" s="32">
        <v>12.3622</v>
      </c>
      <c r="S5" s="28">
        <v>30.574000000000002</v>
      </c>
      <c r="T5" s="28">
        <v>30.725999999999999</v>
      </c>
      <c r="U5" s="28">
        <v>30.803999999999998</v>
      </c>
      <c r="V5" s="28">
        <v>30.817</v>
      </c>
      <c r="X5" s="28">
        <v>145.47999999999999</v>
      </c>
    </row>
    <row r="6" spans="1:24">
      <c r="B6" s="230">
        <f>'代表特性(C4)'!G5</f>
        <v>-9.4613757242850683E-4</v>
      </c>
      <c r="C6" s="230">
        <f>'代表特性(C4)'!F5</f>
        <v>-4.1294483136519757E-6</v>
      </c>
      <c r="D6" s="231">
        <f>'代表特性(C4)'!E5</f>
        <v>1.2473616721143199E-3</v>
      </c>
      <c r="F6" s="230">
        <f>'代表特性(C9)'!G5</f>
        <v>-7.2950694561150792E-4</v>
      </c>
      <c r="G6" s="230">
        <f>'代表特性(C9)'!F5</f>
        <v>-6.5694857122192818E-6</v>
      </c>
      <c r="H6" s="231">
        <f>'代表特性(C9)'!E5</f>
        <v>8.144687487121918E-4</v>
      </c>
      <c r="O6" s="32">
        <v>12.4178</v>
      </c>
      <c r="P6" s="32">
        <v>12.463699999999999</v>
      </c>
      <c r="Q6" s="32">
        <v>12.450699999999999</v>
      </c>
      <c r="S6" s="28">
        <v>30.545999999999999</v>
      </c>
      <c r="T6" s="28">
        <v>30.541</v>
      </c>
      <c r="U6" s="28">
        <v>30.806999999999999</v>
      </c>
      <c r="V6" s="28">
        <v>30.774999999999999</v>
      </c>
      <c r="X6" s="28">
        <v>145.65</v>
      </c>
    </row>
    <row r="7" spans="1:24">
      <c r="B7" s="230">
        <f>'代表特性(C4)'!G6</f>
        <v>1.0219430090961608</v>
      </c>
      <c r="C7" s="230">
        <f>'代表特性(C4)'!F6</f>
        <v>-1.3906686657642209E-3</v>
      </c>
      <c r="D7" s="231">
        <f>'代表特性(C4)'!E6</f>
        <v>0.82991781220878702</v>
      </c>
      <c r="F7" s="230">
        <f>'代表特性(C9)'!G6</f>
        <v>1.0173104257550183</v>
      </c>
      <c r="G7" s="230">
        <f>'代表特性(C9)'!F6</f>
        <v>-1.3017320797095156E-3</v>
      </c>
      <c r="H7" s="231">
        <f>'代表特性(C9)'!E6</f>
        <v>0.87455424327084008</v>
      </c>
      <c r="O7" s="32">
        <v>12.4008</v>
      </c>
      <c r="P7" s="32">
        <v>12.4762</v>
      </c>
      <c r="Q7" s="32">
        <v>12.363799999999999</v>
      </c>
      <c r="S7" s="28">
        <v>30.632999999999999</v>
      </c>
      <c r="T7" s="28">
        <v>30.488</v>
      </c>
      <c r="U7" s="28">
        <v>30.803999999999998</v>
      </c>
      <c r="V7" s="28">
        <v>30.803999999999998</v>
      </c>
      <c r="X7" s="28">
        <v>145.57</v>
      </c>
    </row>
    <row r="8" spans="1:24">
      <c r="B8" s="232"/>
      <c r="C8" s="230">
        <f>'代表特性(C4)'!F7</f>
        <v>1.0375218742414281</v>
      </c>
      <c r="D8" s="233"/>
      <c r="F8" s="232"/>
      <c r="G8" s="230">
        <f>'代表特性(C9)'!F7</f>
        <v>1.0366521853451116</v>
      </c>
      <c r="H8" s="233"/>
      <c r="O8" s="32">
        <v>12.418100000000001</v>
      </c>
      <c r="P8" s="32">
        <v>12.432700000000001</v>
      </c>
      <c r="Q8" s="32">
        <v>12.375299999999999</v>
      </c>
      <c r="S8" s="28">
        <v>30.722000000000001</v>
      </c>
      <c r="T8" s="28">
        <v>30.577000000000002</v>
      </c>
      <c r="U8" s="28">
        <v>30.786999999999999</v>
      </c>
      <c r="V8" s="28">
        <v>30.795999999999999</v>
      </c>
      <c r="X8" s="28">
        <v>145.37</v>
      </c>
    </row>
    <row r="9" spans="1:24">
      <c r="E9" s="28">
        <v>175</v>
      </c>
      <c r="G9" s="165"/>
      <c r="M9" s="28" t="s">
        <v>100</v>
      </c>
      <c r="O9" s="32">
        <v>12.420999999999999</v>
      </c>
      <c r="P9" s="32">
        <v>12.4411</v>
      </c>
      <c r="Q9" s="32">
        <v>12.3835</v>
      </c>
      <c r="S9" s="28">
        <v>30.529</v>
      </c>
      <c r="T9" s="28">
        <v>30.568999999999999</v>
      </c>
      <c r="U9" s="28">
        <v>30.780999999999999</v>
      </c>
      <c r="V9" s="28">
        <v>30.724</v>
      </c>
      <c r="X9" s="28">
        <v>145.57</v>
      </c>
    </row>
    <row r="10" spans="1:24">
      <c r="A10" s="29" t="s">
        <v>599</v>
      </c>
      <c r="B10" s="29" t="s">
        <v>62</v>
      </c>
      <c r="C10" s="29" t="s">
        <v>63</v>
      </c>
      <c r="D10" s="29" t="s">
        <v>64</v>
      </c>
      <c r="E10" s="29" t="s">
        <v>65</v>
      </c>
      <c r="F10" s="29" t="s">
        <v>66</v>
      </c>
      <c r="G10" s="29" t="s">
        <v>67</v>
      </c>
      <c r="H10" s="29" t="s">
        <v>68</v>
      </c>
      <c r="I10" s="28" t="s">
        <v>69</v>
      </c>
      <c r="K10" s="28" t="s">
        <v>70</v>
      </c>
      <c r="M10" s="28" t="s">
        <v>99</v>
      </c>
      <c r="O10" s="32">
        <v>12.495200000000001</v>
      </c>
      <c r="P10" s="32">
        <v>12.486599999999999</v>
      </c>
      <c r="Q10" s="32">
        <v>12.383599999999999</v>
      </c>
      <c r="S10" s="28">
        <v>30.725999999999999</v>
      </c>
      <c r="T10" s="28">
        <v>30.436</v>
      </c>
      <c r="U10" s="28">
        <v>30.780999999999999</v>
      </c>
      <c r="V10" s="28">
        <v>30.794</v>
      </c>
      <c r="X10" s="28">
        <v>145.43</v>
      </c>
    </row>
    <row r="11" spans="1:24">
      <c r="A11" s="29" t="s">
        <v>603</v>
      </c>
      <c r="B11" s="28">
        <v>7</v>
      </c>
      <c r="C11" s="28">
        <v>1</v>
      </c>
      <c r="D11" s="88">
        <v>85</v>
      </c>
      <c r="E11" s="28">
        <f>$E$9*C11</f>
        <v>175</v>
      </c>
      <c r="F11" s="184">
        <v>21.3</v>
      </c>
      <c r="G11" s="185">
        <f>熱抵抗!K6</f>
        <v>5.4</v>
      </c>
      <c r="H11" s="30">
        <f>D11-(E11*F11/1000*G11)</f>
        <v>64.871499999999997</v>
      </c>
      <c r="I11" s="31">
        <f>$B$5*H11^2+$B$6*H11+$B$7</f>
        <v>0.97208248248787754</v>
      </c>
      <c r="J11" s="33">
        <f>F11/I11</f>
        <v>21.911720850566429</v>
      </c>
      <c r="K11" s="31">
        <f>$C$5*H11^3+$C$6*H11^2+$C$7*H11+$C$8</f>
        <v>0.92688457462043017</v>
      </c>
      <c r="M11" s="33">
        <f>(D$5*$E$9^2+D$6*$E$9+D$7)*J11</f>
        <v>21.911720850566468</v>
      </c>
      <c r="O11" s="32">
        <v>12.416600000000001</v>
      </c>
      <c r="P11" s="32">
        <v>12.440799999999999</v>
      </c>
      <c r="Q11" s="32">
        <v>12.369400000000001</v>
      </c>
      <c r="S11" s="28">
        <v>30.675000000000001</v>
      </c>
      <c r="T11" s="28">
        <v>30.518000000000001</v>
      </c>
      <c r="U11" s="28">
        <v>30.79</v>
      </c>
      <c r="V11" s="28">
        <v>30.728000000000002</v>
      </c>
      <c r="X11" s="28">
        <v>145.68</v>
      </c>
    </row>
    <row r="12" spans="1:24">
      <c r="A12" s="29" t="s">
        <v>600</v>
      </c>
      <c r="B12" s="28">
        <v>12</v>
      </c>
      <c r="C12" s="28">
        <v>1</v>
      </c>
      <c r="D12" s="88">
        <v>85</v>
      </c>
      <c r="E12" s="28">
        <f>$E$9*C12</f>
        <v>175</v>
      </c>
      <c r="F12" s="184">
        <v>35.6</v>
      </c>
      <c r="G12" s="185">
        <f>熱抵抗!K7</f>
        <v>3</v>
      </c>
      <c r="H12" s="30">
        <f>D12-(E12*F12/1000*G12)</f>
        <v>66.31</v>
      </c>
      <c r="I12" s="31">
        <f>$F$5*H12^2+$F$6*H12+$F$7</f>
        <v>0.97546021839986985</v>
      </c>
      <c r="J12" s="33">
        <f>F12/I12</f>
        <v>36.495593903765446</v>
      </c>
      <c r="K12" s="31">
        <v>0.92139305976979968</v>
      </c>
      <c r="M12" s="33">
        <f>(H$5*$E$9^2+H$6*$E$9+H$7)*J12</f>
        <v>36.495593903765453</v>
      </c>
      <c r="O12" s="32">
        <v>12.4122</v>
      </c>
      <c r="P12" s="32">
        <v>12.473000000000001</v>
      </c>
      <c r="Q12" s="194">
        <v>12.383900000000001</v>
      </c>
      <c r="S12" s="28">
        <v>30.734000000000002</v>
      </c>
      <c r="T12" s="28">
        <v>30.632999999999999</v>
      </c>
      <c r="U12" s="28">
        <v>30.773</v>
      </c>
      <c r="V12" s="28">
        <v>30.805</v>
      </c>
      <c r="X12" s="28">
        <v>145.6</v>
      </c>
    </row>
    <row r="13" spans="1:24">
      <c r="A13" s="29" t="s">
        <v>601</v>
      </c>
      <c r="B13" s="28">
        <v>12</v>
      </c>
      <c r="C13" s="28">
        <v>2</v>
      </c>
      <c r="D13" s="88">
        <v>85</v>
      </c>
      <c r="E13" s="28">
        <f>$E$9*C13</f>
        <v>350</v>
      </c>
      <c r="F13" s="184">
        <v>35.6</v>
      </c>
      <c r="G13" s="185">
        <f>熱抵抗!K8</f>
        <v>1.6</v>
      </c>
      <c r="H13" s="30">
        <f>D13-(E13*F13/1000*G13)</f>
        <v>65.063999999999993</v>
      </c>
      <c r="I13" s="31">
        <f t="shared" ref="I13:I14" si="0">$F$5*H13^2+$F$6*H13+$F$7</f>
        <v>0.9761263311508307</v>
      </c>
      <c r="J13" s="33">
        <f>F13/I13</f>
        <v>36.470689155601832</v>
      </c>
      <c r="K13" s="31">
        <f t="shared" ref="K13:K14" si="1">$G$5*H13^3+$G$6*H13^2+$G$7*H13+$G$8</f>
        <v>0.92409344034050445</v>
      </c>
      <c r="M13" s="33">
        <f t="shared" ref="M13:M14" si="2">(H$5*$E$9^2+H$6*$E$9+H$7)*J13</f>
        <v>36.470689155601839</v>
      </c>
      <c r="O13" s="32">
        <v>12.4087</v>
      </c>
      <c r="P13" s="32">
        <v>12.453900000000001</v>
      </c>
      <c r="Q13" s="194">
        <v>12.3795</v>
      </c>
      <c r="S13" s="28">
        <v>30.67</v>
      </c>
      <c r="T13" s="28">
        <v>30.506</v>
      </c>
      <c r="U13" s="28">
        <v>30.75</v>
      </c>
      <c r="V13" s="28">
        <v>30.77</v>
      </c>
      <c r="X13" s="28">
        <v>145.69</v>
      </c>
    </row>
    <row r="14" spans="1:24">
      <c r="A14" s="29" t="s">
        <v>602</v>
      </c>
      <c r="B14" s="28">
        <v>12</v>
      </c>
      <c r="C14" s="28">
        <v>4</v>
      </c>
      <c r="D14" s="88">
        <v>85</v>
      </c>
      <c r="E14" s="28">
        <f>$E$9*C14</f>
        <v>700</v>
      </c>
      <c r="F14" s="184">
        <v>35.6</v>
      </c>
      <c r="G14" s="194">
        <f>熱抵抗!K9</f>
        <v>0.91</v>
      </c>
      <c r="H14" s="30">
        <f>D14-(E14*F14/1000*G14)</f>
        <v>62.322800000000001</v>
      </c>
      <c r="I14" s="31">
        <f t="shared" si="0"/>
        <v>0.97760799448763569</v>
      </c>
      <c r="J14" s="33">
        <f>F14/I14</f>
        <v>36.415414154482193</v>
      </c>
      <c r="K14" s="31">
        <f t="shared" si="1"/>
        <v>0.92996207465796821</v>
      </c>
      <c r="M14" s="33">
        <f t="shared" si="2"/>
        <v>36.4154141544822</v>
      </c>
      <c r="O14" s="32">
        <v>12.423299999999999</v>
      </c>
      <c r="P14" s="32">
        <v>12.418200000000001</v>
      </c>
      <c r="Q14" s="194">
        <v>12.3802</v>
      </c>
      <c r="S14" s="28">
        <v>30.603000000000002</v>
      </c>
      <c r="T14" s="28">
        <v>30.588999999999999</v>
      </c>
      <c r="U14" s="28">
        <v>30.739000000000001</v>
      </c>
      <c r="V14" s="28">
        <v>30.792000000000002</v>
      </c>
      <c r="X14" s="28">
        <v>145.51</v>
      </c>
    </row>
    <row r="15" spans="1:24" s="190" customFormat="1">
      <c r="D15" s="191"/>
      <c r="F15" s="185"/>
      <c r="H15" s="185"/>
      <c r="I15" s="192"/>
      <c r="J15" s="193"/>
      <c r="K15" s="192"/>
      <c r="O15" s="194">
        <v>12.3904</v>
      </c>
      <c r="P15" s="194">
        <v>12.4473</v>
      </c>
      <c r="Q15" s="194">
        <v>12.4277</v>
      </c>
      <c r="S15" s="190">
        <v>30.649000000000001</v>
      </c>
      <c r="T15" s="190">
        <v>30.585000000000001</v>
      </c>
      <c r="U15" s="190">
        <v>30.75</v>
      </c>
      <c r="V15" s="190">
        <v>30.803000000000001</v>
      </c>
      <c r="X15" s="190">
        <v>145.47</v>
      </c>
    </row>
    <row r="16" spans="1:24">
      <c r="A16" s="29" t="s">
        <v>233</v>
      </c>
      <c r="B16" s="692">
        <v>4</v>
      </c>
      <c r="C16" s="692">
        <v>3</v>
      </c>
      <c r="D16" s="88">
        <v>85</v>
      </c>
      <c r="E16" s="28">
        <f>$E$9*C16</f>
        <v>525</v>
      </c>
      <c r="F16" s="755">
        <f>(F12/12)*4</f>
        <v>11.866666666666667</v>
      </c>
      <c r="G16" s="185">
        <f>熱抵抗!K7</f>
        <v>3</v>
      </c>
      <c r="H16" s="30">
        <f>D16-(E16*F16/1000*G16)</f>
        <v>66.31</v>
      </c>
      <c r="I16" s="31">
        <f>$F$5*H16^2+$F$6*H16+$F$7</f>
        <v>0.97546021839986985</v>
      </c>
      <c r="J16" s="33">
        <f>F16/I16</f>
        <v>12.165197967921815</v>
      </c>
      <c r="K16" s="31">
        <f>$G$5*H16^3+$G$6*H16^2+$G$7*H16+$G$8</f>
        <v>0.92139305976979968</v>
      </c>
      <c r="M16" s="33">
        <f>(H$5*$E$9^2+H$6*$E$9+H$7)*J16</f>
        <v>12.165197967921818</v>
      </c>
      <c r="O16" s="32">
        <v>12.4156</v>
      </c>
      <c r="P16" s="32">
        <v>12.454800000000001</v>
      </c>
      <c r="Q16" s="194">
        <v>12.4261</v>
      </c>
      <c r="S16" s="28">
        <v>30.675999999999998</v>
      </c>
      <c r="T16" s="28">
        <v>30.645</v>
      </c>
      <c r="U16" s="28">
        <v>30.765000000000001</v>
      </c>
      <c r="V16" s="28">
        <v>30.768000000000001</v>
      </c>
      <c r="X16" s="28">
        <v>145.54</v>
      </c>
    </row>
    <row r="17" spans="1:24" s="190" customFormat="1">
      <c r="A17" s="29" t="s">
        <v>233</v>
      </c>
      <c r="B17" s="692">
        <v>10</v>
      </c>
      <c r="C17" s="692">
        <v>1</v>
      </c>
      <c r="D17" s="88">
        <v>85</v>
      </c>
      <c r="E17" s="28">
        <f>$E$9*C17</f>
        <v>175</v>
      </c>
      <c r="F17" s="184">
        <v>29.9</v>
      </c>
      <c r="G17" s="185">
        <f>熱抵抗!K10</f>
        <v>3.7</v>
      </c>
      <c r="H17" s="30">
        <f>D17-(E17*F17/1000*G17)</f>
        <v>65.639749999999992</v>
      </c>
      <c r="I17" s="31">
        <f>$F$5*H17^2+$F$6*H17+$F$7</f>
        <v>0.97581796215434724</v>
      </c>
      <c r="J17" s="33">
        <f>F17/I17</f>
        <v>30.640960875518964</v>
      </c>
      <c r="K17" s="31">
        <f>$G$5*H17^3+$G$6*H17^2+$G$7*H17+$G$8</f>
        <v>0.92284820164563686</v>
      </c>
      <c r="L17" s="28"/>
      <c r="M17" s="33">
        <f>(H$5*$E$9^2+H$6*$E$9+H$7)*J17</f>
        <v>30.640960875518971</v>
      </c>
      <c r="O17" s="194">
        <v>12.414300000000001</v>
      </c>
      <c r="P17" s="194">
        <v>12.3939</v>
      </c>
      <c r="Q17" s="194">
        <v>12.456200000000001</v>
      </c>
      <c r="S17" s="190">
        <v>30.673999999999999</v>
      </c>
      <c r="T17" s="190">
        <v>30.593</v>
      </c>
      <c r="U17" s="190">
        <v>30.771999999999998</v>
      </c>
      <c r="V17" s="190">
        <v>30.721</v>
      </c>
      <c r="X17" s="190">
        <v>145.29</v>
      </c>
    </row>
    <row r="18" spans="1:24" s="190" customFormat="1">
      <c r="A18" s="29" t="s">
        <v>235</v>
      </c>
      <c r="B18" s="726">
        <v>48</v>
      </c>
      <c r="C18" s="726">
        <v>1</v>
      </c>
      <c r="D18" s="191">
        <v>85</v>
      </c>
      <c r="E18" s="190">
        <f>$E$9*C18</f>
        <v>175</v>
      </c>
      <c r="F18" s="184">
        <v>142.29670885534881</v>
      </c>
      <c r="G18" s="194">
        <f>熱抵抗!K11</f>
        <v>0.91</v>
      </c>
      <c r="H18" s="185">
        <f>D18-(E18*F18/1000*G18)</f>
        <v>62.339249114785702</v>
      </c>
      <c r="I18" s="192">
        <f>$F$5*H18^2+$F$6*H18+$F$7</f>
        <v>0.97759903697822725</v>
      </c>
      <c r="J18" s="193">
        <f>F18/I18</f>
        <v>145.55733329606173</v>
      </c>
      <c r="K18" s="192">
        <f>$G$5*H18^3+$G$6*H18^2+$G$7*H18+$G$8</f>
        <v>0.92992715480339949</v>
      </c>
      <c r="M18" s="193">
        <f>(H$5*$E$9^2+H$6*$E$9+H$7)*J18</f>
        <v>145.55733329606176</v>
      </c>
      <c r="O18" s="194">
        <v>12.4009</v>
      </c>
      <c r="P18" s="194">
        <v>12.4663</v>
      </c>
      <c r="Q18" s="194">
        <v>12.403600000000001</v>
      </c>
      <c r="S18" s="190">
        <v>30.664000000000001</v>
      </c>
      <c r="T18" s="190">
        <v>30.613</v>
      </c>
      <c r="U18" s="190">
        <v>30.643999999999998</v>
      </c>
      <c r="V18" s="190">
        <v>30.779</v>
      </c>
    </row>
    <row r="19" spans="1:24" s="190" customFormat="1">
      <c r="D19" s="191"/>
      <c r="F19" s="185"/>
      <c r="H19" s="185"/>
      <c r="I19" s="192"/>
      <c r="J19" s="193"/>
      <c r="K19" s="192"/>
      <c r="O19" s="194">
        <v>12.4084</v>
      </c>
      <c r="P19" s="194">
        <v>12.447100000000001</v>
      </c>
      <c r="Q19" s="194">
        <v>12.354100000000001</v>
      </c>
      <c r="S19" s="190">
        <v>30.611999999999998</v>
      </c>
      <c r="T19" s="190">
        <v>30.748999999999999</v>
      </c>
      <c r="U19" s="190">
        <v>30.747</v>
      </c>
      <c r="V19" s="190">
        <v>30.809000000000001</v>
      </c>
    </row>
    <row r="20" spans="1:24" s="190" customFormat="1">
      <c r="D20" s="191"/>
      <c r="F20" s="185"/>
      <c r="H20" s="185"/>
      <c r="I20" s="192"/>
      <c r="J20" s="193"/>
      <c r="K20" s="192"/>
      <c r="O20" s="194">
        <v>12.401400000000001</v>
      </c>
      <c r="P20" s="194">
        <v>12.4137</v>
      </c>
      <c r="Q20" s="194">
        <v>12.343999999999999</v>
      </c>
      <c r="S20" s="190">
        <v>30.614999999999998</v>
      </c>
      <c r="T20" s="190">
        <v>30.542999999999999</v>
      </c>
      <c r="U20" s="190">
        <v>30.526</v>
      </c>
      <c r="V20" s="190">
        <v>30.774999999999999</v>
      </c>
    </row>
    <row r="21" spans="1:24" s="190" customFormat="1">
      <c r="D21" s="191"/>
      <c r="F21" s="185"/>
      <c r="H21" s="185"/>
      <c r="I21" s="192"/>
      <c r="J21" s="193"/>
      <c r="K21" s="192"/>
      <c r="O21" s="194">
        <v>12.3866</v>
      </c>
      <c r="P21" s="194">
        <v>12.371499999999999</v>
      </c>
      <c r="Q21" s="194">
        <v>12.360200000000001</v>
      </c>
      <c r="S21" s="190">
        <v>30.565999999999999</v>
      </c>
      <c r="T21" s="190">
        <v>30.553000000000001</v>
      </c>
      <c r="U21" s="190">
        <v>30.79</v>
      </c>
      <c r="V21" s="190">
        <v>30.792000000000002</v>
      </c>
    </row>
    <row r="22" spans="1:24" s="190" customFormat="1">
      <c r="D22" s="191"/>
      <c r="F22" s="185"/>
      <c r="H22" s="185"/>
      <c r="I22" s="192"/>
      <c r="J22" s="193"/>
      <c r="K22" s="192"/>
      <c r="O22" s="194">
        <v>12.3889</v>
      </c>
      <c r="P22" s="194">
        <v>12.464700000000001</v>
      </c>
      <c r="Q22" s="194">
        <v>12.369</v>
      </c>
      <c r="S22" s="190">
        <v>30.707999999999998</v>
      </c>
      <c r="T22" s="190">
        <v>30.558</v>
      </c>
      <c r="U22" s="190">
        <v>30.645</v>
      </c>
      <c r="V22" s="190">
        <v>30.763999999999999</v>
      </c>
    </row>
    <row r="23" spans="1:24" s="190" customFormat="1">
      <c r="D23" s="191"/>
      <c r="F23" s="185"/>
      <c r="H23" s="185"/>
      <c r="I23" s="192"/>
      <c r="J23" s="193"/>
      <c r="K23" s="192"/>
      <c r="M23" s="194"/>
      <c r="O23" s="194">
        <v>12.3949</v>
      </c>
      <c r="P23" s="194">
        <v>12.3917</v>
      </c>
      <c r="Q23" s="194">
        <v>12.363200000000001</v>
      </c>
      <c r="S23" s="190">
        <v>30.65</v>
      </c>
      <c r="T23" s="190">
        <v>30.53</v>
      </c>
      <c r="U23" s="190">
        <v>30.745999999999999</v>
      </c>
      <c r="V23" s="190">
        <v>30.724</v>
      </c>
    </row>
    <row r="24" spans="1:24" s="190" customFormat="1">
      <c r="D24" s="191"/>
      <c r="F24" s="185"/>
      <c r="H24" s="185"/>
      <c r="I24" s="192"/>
      <c r="J24" s="193"/>
      <c r="K24" s="192"/>
      <c r="O24" s="194">
        <v>12.389099999999999</v>
      </c>
      <c r="P24" s="194">
        <v>12.3804</v>
      </c>
      <c r="Q24" s="194">
        <v>12.360099999999999</v>
      </c>
      <c r="S24" s="190">
        <v>30.718</v>
      </c>
      <c r="T24" s="190">
        <v>30.619</v>
      </c>
      <c r="U24" s="190">
        <v>30.672999999999998</v>
      </c>
      <c r="V24" s="190">
        <v>30.757000000000001</v>
      </c>
    </row>
    <row r="25" spans="1:24" s="190" customFormat="1">
      <c r="D25" s="191"/>
      <c r="F25" s="185"/>
      <c r="G25" s="194"/>
      <c r="H25" s="185"/>
      <c r="I25" s="192"/>
      <c r="J25" s="193"/>
      <c r="K25" s="192"/>
      <c r="O25" s="194">
        <v>12.437200000000001</v>
      </c>
      <c r="P25" s="194">
        <v>12.3759</v>
      </c>
      <c r="Q25" s="194">
        <v>12.3583</v>
      </c>
      <c r="S25" s="190">
        <v>30.684999999999999</v>
      </c>
      <c r="T25" s="190">
        <v>30.501000000000001</v>
      </c>
      <c r="U25" s="190">
        <v>30.777000000000001</v>
      </c>
      <c r="V25" s="190">
        <v>30.766999999999999</v>
      </c>
    </row>
    <row r="26" spans="1:24" s="190" customFormat="1">
      <c r="D26" s="191"/>
      <c r="F26" s="185"/>
      <c r="H26" s="185"/>
      <c r="I26" s="192"/>
      <c r="J26" s="193"/>
      <c r="K26" s="192"/>
      <c r="O26" s="194">
        <v>12.4476</v>
      </c>
      <c r="P26" s="194">
        <v>12.378399999999999</v>
      </c>
      <c r="Q26" s="194">
        <v>12.3423</v>
      </c>
      <c r="S26" s="190">
        <v>30.648</v>
      </c>
      <c r="T26" s="190">
        <v>30.603000000000002</v>
      </c>
      <c r="U26" s="190">
        <v>30.693000000000001</v>
      </c>
      <c r="V26" s="190">
        <v>30.780999999999999</v>
      </c>
    </row>
    <row r="27" spans="1:24" s="190" customFormat="1">
      <c r="D27" s="191"/>
      <c r="F27" s="185"/>
      <c r="H27" s="185"/>
      <c r="I27" s="192"/>
      <c r="J27" s="193"/>
      <c r="K27" s="192"/>
      <c r="O27" s="194">
        <v>12.440899999999999</v>
      </c>
      <c r="P27" s="194">
        <v>12.4099</v>
      </c>
      <c r="Q27" s="194">
        <v>12.361599999999999</v>
      </c>
      <c r="S27" s="190">
        <v>30.64</v>
      </c>
      <c r="T27" s="190">
        <v>30.774000000000001</v>
      </c>
      <c r="U27" s="190">
        <v>30.649000000000001</v>
      </c>
      <c r="V27" s="190">
        <v>30.734000000000002</v>
      </c>
    </row>
    <row r="28" spans="1:24" s="190" customFormat="1">
      <c r="D28" s="191"/>
      <c r="F28" s="185"/>
      <c r="H28" s="185"/>
      <c r="I28" s="192"/>
      <c r="J28" s="193"/>
      <c r="K28" s="192"/>
      <c r="O28" s="194">
        <v>12.386200000000001</v>
      </c>
      <c r="P28" s="194">
        <v>12.3725</v>
      </c>
      <c r="Q28" s="194">
        <v>12.352</v>
      </c>
      <c r="S28" s="190">
        <v>30.492999999999999</v>
      </c>
      <c r="T28" s="190">
        <v>30.542999999999999</v>
      </c>
      <c r="U28" s="190">
        <v>30.591999999999999</v>
      </c>
      <c r="V28" s="190">
        <v>30.760999999999999</v>
      </c>
    </row>
    <row r="29" spans="1:24" s="190" customFormat="1">
      <c r="D29" s="191"/>
      <c r="F29" s="185"/>
      <c r="H29" s="185"/>
      <c r="I29" s="192"/>
      <c r="J29" s="193"/>
      <c r="K29" s="192"/>
      <c r="O29" s="194">
        <v>12.396000000000001</v>
      </c>
      <c r="P29" s="194">
        <v>12.4366</v>
      </c>
      <c r="Q29" s="194">
        <v>12.3475</v>
      </c>
      <c r="S29" s="190">
        <v>30.652999999999999</v>
      </c>
      <c r="T29" s="190">
        <v>30.483000000000001</v>
      </c>
      <c r="U29" s="190">
        <v>30.58</v>
      </c>
      <c r="V29" s="190">
        <v>30.795000000000002</v>
      </c>
    </row>
    <row r="30" spans="1:24" s="190" customFormat="1">
      <c r="D30" s="191"/>
      <c r="F30" s="185"/>
      <c r="G30" s="193"/>
      <c r="H30" s="185"/>
      <c r="I30" s="192"/>
      <c r="J30" s="193"/>
      <c r="K30" s="192"/>
      <c r="O30" s="194">
        <v>12.406000000000001</v>
      </c>
      <c r="P30" s="194">
        <v>12.4481</v>
      </c>
      <c r="Q30" s="194">
        <v>12.3513</v>
      </c>
      <c r="S30" s="190">
        <v>30.684000000000001</v>
      </c>
      <c r="T30" s="190">
        <v>30.587</v>
      </c>
      <c r="U30" s="190">
        <v>30.622</v>
      </c>
      <c r="V30" s="190">
        <v>30.736000000000001</v>
      </c>
    </row>
    <row r="31" spans="1:24">
      <c r="F31" s="32"/>
      <c r="O31" s="32">
        <v>12.4621</v>
      </c>
      <c r="P31" s="32">
        <v>12.359299999999999</v>
      </c>
      <c r="Q31" s="32">
        <v>12.3559</v>
      </c>
      <c r="S31" s="28">
        <v>30.605</v>
      </c>
      <c r="T31" s="28">
        <v>30.536000000000001</v>
      </c>
      <c r="U31" s="28">
        <v>30.675000000000001</v>
      </c>
      <c r="V31" s="28">
        <v>30.753</v>
      </c>
    </row>
    <row r="32" spans="1:24">
      <c r="O32" s="32">
        <v>12.4383</v>
      </c>
      <c r="P32" s="32">
        <v>12.368399999999999</v>
      </c>
      <c r="Q32" s="32">
        <v>12.3642</v>
      </c>
      <c r="S32" s="28">
        <v>30.725000000000001</v>
      </c>
      <c r="T32" s="28">
        <v>30.56</v>
      </c>
      <c r="U32" s="28">
        <v>30.655000000000001</v>
      </c>
      <c r="V32" s="28">
        <v>30.791</v>
      </c>
    </row>
    <row r="33" spans="15:22">
      <c r="O33" s="32">
        <v>12.390700000000001</v>
      </c>
      <c r="P33" s="32">
        <v>12.3864</v>
      </c>
      <c r="Q33" s="32">
        <v>12.34</v>
      </c>
      <c r="S33" s="28">
        <v>30.702000000000002</v>
      </c>
      <c r="T33" s="28">
        <v>30.552</v>
      </c>
      <c r="U33" s="28">
        <v>30.669</v>
      </c>
      <c r="V33" s="28">
        <v>30.792000000000002</v>
      </c>
    </row>
    <row r="34" spans="15:22">
      <c r="O34" s="32">
        <v>12.393000000000001</v>
      </c>
      <c r="P34" s="32">
        <v>12.3811</v>
      </c>
      <c r="Q34" s="32">
        <v>12.3406</v>
      </c>
      <c r="S34" s="28">
        <v>30.638000000000002</v>
      </c>
      <c r="T34" s="28">
        <v>30.533999999999999</v>
      </c>
      <c r="U34" s="28">
        <v>30.704999999999998</v>
      </c>
      <c r="V34" s="28">
        <v>30.77</v>
      </c>
    </row>
  </sheetData>
  <sheetProtection password="A7EA" sheet="1" objects="1" scenarios="1"/>
  <phoneticPr fontId="7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4:M15"/>
  <sheetViews>
    <sheetView zoomScale="70" zoomScaleNormal="70" workbookViewId="0">
      <selection activeCell="K10" sqref="K10"/>
    </sheetView>
  </sheetViews>
  <sheetFormatPr defaultRowHeight="18.75"/>
  <cols>
    <col min="1" max="2" width="5.25" style="211" customWidth="1"/>
    <col min="3" max="4" width="9" style="211"/>
    <col min="5" max="5" width="16.875" style="211" bestFit="1" customWidth="1"/>
    <col min="6" max="10" width="16.625" style="211" bestFit="1" customWidth="1"/>
    <col min="11" max="16384" width="9" style="211"/>
  </cols>
  <sheetData>
    <row r="4" spans="1:13">
      <c r="C4" s="904" t="s">
        <v>129</v>
      </c>
      <c r="D4" s="904" t="s">
        <v>130</v>
      </c>
      <c r="E4" s="904" t="s">
        <v>131</v>
      </c>
      <c r="F4" s="212" t="s">
        <v>132</v>
      </c>
      <c r="G4" s="904" t="s">
        <v>133</v>
      </c>
      <c r="H4" s="904"/>
      <c r="I4" s="904"/>
      <c r="J4" s="904"/>
      <c r="K4" s="300" t="s">
        <v>261</v>
      </c>
    </row>
    <row r="5" spans="1:13">
      <c r="C5" s="904"/>
      <c r="D5" s="904"/>
      <c r="E5" s="904"/>
      <c r="F5" s="212" t="s">
        <v>134</v>
      </c>
      <c r="G5" s="212" t="s">
        <v>134</v>
      </c>
      <c r="H5" s="212" t="s">
        <v>135</v>
      </c>
      <c r="I5" s="212" t="s">
        <v>136</v>
      </c>
      <c r="J5" s="212" t="s">
        <v>137</v>
      </c>
      <c r="K5" s="300" t="s">
        <v>277</v>
      </c>
      <c r="M5" s="211" t="s">
        <v>276</v>
      </c>
    </row>
    <row r="6" spans="1:13">
      <c r="A6" s="213"/>
      <c r="B6" s="213">
        <v>7</v>
      </c>
      <c r="C6" s="212" t="s">
        <v>138</v>
      </c>
      <c r="D6" s="212" t="s">
        <v>139</v>
      </c>
      <c r="E6" s="212" t="s">
        <v>140</v>
      </c>
      <c r="F6" s="212" t="s">
        <v>615</v>
      </c>
      <c r="G6" s="214">
        <v>4.8029999999999999</v>
      </c>
      <c r="H6" s="215">
        <v>5.3360000000000003</v>
      </c>
      <c r="I6" s="214">
        <v>4.97</v>
      </c>
      <c r="J6" s="214">
        <v>5.5060000000000002</v>
      </c>
      <c r="K6" s="301">
        <v>5.4</v>
      </c>
      <c r="M6" s="211" t="s">
        <v>280</v>
      </c>
    </row>
    <row r="7" spans="1:13">
      <c r="A7" s="213"/>
      <c r="B7" s="213">
        <v>12</v>
      </c>
      <c r="C7" s="212" t="s">
        <v>141</v>
      </c>
      <c r="D7" s="212" t="s">
        <v>142</v>
      </c>
      <c r="E7" s="212" t="s">
        <v>611</v>
      </c>
      <c r="F7" s="212" t="s">
        <v>615</v>
      </c>
      <c r="G7" s="214">
        <v>2.5259999999999998</v>
      </c>
      <c r="H7" s="215">
        <v>2.9809999999999999</v>
      </c>
      <c r="I7" s="214">
        <v>2.6150000000000002</v>
      </c>
      <c r="J7" s="214">
        <v>3.085</v>
      </c>
      <c r="K7" s="301">
        <v>3</v>
      </c>
      <c r="M7" s="211" t="s">
        <v>279</v>
      </c>
    </row>
    <row r="8" spans="1:13">
      <c r="A8" s="213">
        <v>20</v>
      </c>
      <c r="B8" s="213">
        <v>24</v>
      </c>
      <c r="C8" s="212" t="s">
        <v>143</v>
      </c>
      <c r="D8" s="212" t="s">
        <v>144</v>
      </c>
      <c r="E8" s="212" t="s">
        <v>145</v>
      </c>
      <c r="F8" s="215">
        <v>1.6</v>
      </c>
      <c r="G8" s="214">
        <v>1.53</v>
      </c>
      <c r="H8" s="214">
        <v>1.708</v>
      </c>
      <c r="I8" s="214">
        <v>1.589</v>
      </c>
      <c r="J8" s="214">
        <v>1.7729999999999999</v>
      </c>
      <c r="K8" s="301">
        <v>1.6</v>
      </c>
      <c r="M8" s="211" t="s">
        <v>278</v>
      </c>
    </row>
    <row r="9" spans="1:13">
      <c r="A9" s="213">
        <v>48</v>
      </c>
      <c r="B9" s="213">
        <v>48</v>
      </c>
      <c r="C9" s="212" t="s">
        <v>146</v>
      </c>
      <c r="D9" s="212" t="s">
        <v>147</v>
      </c>
      <c r="E9" s="212" t="s">
        <v>148</v>
      </c>
      <c r="F9" s="215">
        <v>0.91</v>
      </c>
      <c r="G9" s="214">
        <v>0.73099999999999998</v>
      </c>
      <c r="H9" s="214">
        <v>0.84599999999999997</v>
      </c>
      <c r="I9" s="214">
        <v>0.75600000000000001</v>
      </c>
      <c r="J9" s="214">
        <v>0.878</v>
      </c>
      <c r="K9" s="299">
        <v>0.91</v>
      </c>
      <c r="M9" s="211" t="s">
        <v>281</v>
      </c>
    </row>
    <row r="10" spans="1:13">
      <c r="B10" s="213">
        <v>10</v>
      </c>
      <c r="C10" s="249" t="s">
        <v>650</v>
      </c>
      <c r="D10" s="249" t="s">
        <v>651</v>
      </c>
      <c r="E10" s="249" t="s">
        <v>613</v>
      </c>
      <c r="K10" s="694">
        <f>ROUND(K12*B10^(K13),1)</f>
        <v>3.7</v>
      </c>
    </row>
    <row r="11" spans="1:13">
      <c r="B11" s="213">
        <v>48</v>
      </c>
      <c r="C11" s="249" t="s">
        <v>652</v>
      </c>
      <c r="D11" s="249" t="s">
        <v>653</v>
      </c>
      <c r="E11" s="249" t="s">
        <v>649</v>
      </c>
      <c r="K11" s="725">
        <f>K9</f>
        <v>0.91</v>
      </c>
    </row>
    <row r="12" spans="1:13">
      <c r="K12" s="211">
        <v>30.876796316246999</v>
      </c>
    </row>
    <row r="13" spans="1:13">
      <c r="K13" s="211">
        <v>-0.91979527943539297</v>
      </c>
    </row>
    <row r="14" spans="1:13">
      <c r="J14" s="203"/>
      <c r="K14" s="203"/>
    </row>
    <row r="15" spans="1:13">
      <c r="J15" s="203"/>
      <c r="K15" s="203"/>
    </row>
  </sheetData>
  <sheetProtection password="A7EA" sheet="1" objects="1" scenarios="1"/>
  <mergeCells count="4">
    <mergeCell ref="C4:C5"/>
    <mergeCell ref="D4:D5"/>
    <mergeCell ref="E4:E5"/>
    <mergeCell ref="G4:J4"/>
  </mergeCells>
  <phoneticPr fontId="7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2:M17"/>
  <sheetViews>
    <sheetView zoomScale="85" zoomScaleNormal="85" workbookViewId="0">
      <selection activeCell="D7" sqref="D7"/>
    </sheetView>
  </sheetViews>
  <sheetFormatPr defaultRowHeight="15.75"/>
  <cols>
    <col min="1" max="2" width="9" style="217"/>
    <col min="3" max="3" width="15.5" style="217" customWidth="1"/>
    <col min="4" max="4" width="15.875" style="217" bestFit="1" customWidth="1"/>
    <col min="5" max="5" width="15.875" style="217" customWidth="1"/>
    <col min="6" max="6" width="15.875" style="217" bestFit="1" customWidth="1"/>
    <col min="7" max="7" width="15.125" style="217" customWidth="1"/>
    <col min="8" max="8" width="13.75" style="217" customWidth="1"/>
    <col min="9" max="9" width="9" style="217"/>
    <col min="10" max="10" width="17.125" style="217" bestFit="1" customWidth="1"/>
    <col min="11" max="11" width="15.5" style="217" customWidth="1"/>
    <col min="12" max="12" width="9" style="217"/>
    <col min="13" max="14" width="15.875" style="217" bestFit="1" customWidth="1"/>
    <col min="15" max="15" width="9.125" style="217" bestFit="1" customWidth="1"/>
    <col min="16" max="16" width="9.375" style="217" bestFit="1" customWidth="1"/>
    <col min="17" max="258" width="9" style="217"/>
    <col min="259" max="259" width="15.5" style="217" customWidth="1"/>
    <col min="260" max="260" width="15.875" style="217" bestFit="1" customWidth="1"/>
    <col min="261" max="261" width="15.875" style="217" customWidth="1"/>
    <col min="262" max="262" width="15.875" style="217" bestFit="1" customWidth="1"/>
    <col min="263" max="263" width="15.125" style="217" customWidth="1"/>
    <col min="264" max="264" width="13.75" style="217" customWidth="1"/>
    <col min="265" max="265" width="9" style="217"/>
    <col min="266" max="266" width="17.125" style="217" bestFit="1" customWidth="1"/>
    <col min="267" max="267" width="15.5" style="217" customWidth="1"/>
    <col min="268" max="268" width="9" style="217"/>
    <col min="269" max="270" width="15.875" style="217" bestFit="1" customWidth="1"/>
    <col min="271" max="271" width="9.125" style="217" bestFit="1" customWidth="1"/>
    <col min="272" max="272" width="9.375" style="217" bestFit="1" customWidth="1"/>
    <col min="273" max="514" width="9" style="217"/>
    <col min="515" max="515" width="15.5" style="217" customWidth="1"/>
    <col min="516" max="516" width="15.875" style="217" bestFit="1" customWidth="1"/>
    <col min="517" max="517" width="15.875" style="217" customWidth="1"/>
    <col min="518" max="518" width="15.875" style="217" bestFit="1" customWidth="1"/>
    <col min="519" max="519" width="15.125" style="217" customWidth="1"/>
    <col min="520" max="520" width="13.75" style="217" customWidth="1"/>
    <col min="521" max="521" width="9" style="217"/>
    <col min="522" max="522" width="17.125" style="217" bestFit="1" customWidth="1"/>
    <col min="523" max="523" width="15.5" style="217" customWidth="1"/>
    <col min="524" max="524" width="9" style="217"/>
    <col min="525" max="526" width="15.875" style="217" bestFit="1" customWidth="1"/>
    <col min="527" max="527" width="9.125" style="217" bestFit="1" customWidth="1"/>
    <col min="528" max="528" width="9.375" style="217" bestFit="1" customWidth="1"/>
    <col min="529" max="770" width="9" style="217"/>
    <col min="771" max="771" width="15.5" style="217" customWidth="1"/>
    <col min="772" max="772" width="15.875" style="217" bestFit="1" customWidth="1"/>
    <col min="773" max="773" width="15.875" style="217" customWidth="1"/>
    <col min="774" max="774" width="15.875" style="217" bestFit="1" customWidth="1"/>
    <col min="775" max="775" width="15.125" style="217" customWidth="1"/>
    <col min="776" max="776" width="13.75" style="217" customWidth="1"/>
    <col min="777" max="777" width="9" style="217"/>
    <col min="778" max="778" width="17.125" style="217" bestFit="1" customWidth="1"/>
    <col min="779" max="779" width="15.5" style="217" customWidth="1"/>
    <col min="780" max="780" width="9" style="217"/>
    <col min="781" max="782" width="15.875" style="217" bestFit="1" customWidth="1"/>
    <col min="783" max="783" width="9.125" style="217" bestFit="1" customWidth="1"/>
    <col min="784" max="784" width="9.375" style="217" bestFit="1" customWidth="1"/>
    <col min="785" max="1026" width="9" style="217"/>
    <col min="1027" max="1027" width="15.5" style="217" customWidth="1"/>
    <col min="1028" max="1028" width="15.875" style="217" bestFit="1" customWidth="1"/>
    <col min="1029" max="1029" width="15.875" style="217" customWidth="1"/>
    <col min="1030" max="1030" width="15.875" style="217" bestFit="1" customWidth="1"/>
    <col min="1031" max="1031" width="15.125" style="217" customWidth="1"/>
    <col min="1032" max="1032" width="13.75" style="217" customWidth="1"/>
    <col min="1033" max="1033" width="9" style="217"/>
    <col min="1034" max="1034" width="17.125" style="217" bestFit="1" customWidth="1"/>
    <col min="1035" max="1035" width="15.5" style="217" customWidth="1"/>
    <col min="1036" max="1036" width="9" style="217"/>
    <col min="1037" max="1038" width="15.875" style="217" bestFit="1" customWidth="1"/>
    <col min="1039" max="1039" width="9.125" style="217" bestFit="1" customWidth="1"/>
    <col min="1040" max="1040" width="9.375" style="217" bestFit="1" customWidth="1"/>
    <col min="1041" max="1282" width="9" style="217"/>
    <col min="1283" max="1283" width="15.5" style="217" customWidth="1"/>
    <col min="1284" max="1284" width="15.875" style="217" bestFit="1" customWidth="1"/>
    <col min="1285" max="1285" width="15.875" style="217" customWidth="1"/>
    <col min="1286" max="1286" width="15.875" style="217" bestFit="1" customWidth="1"/>
    <col min="1287" max="1287" width="15.125" style="217" customWidth="1"/>
    <col min="1288" max="1288" width="13.75" style="217" customWidth="1"/>
    <col min="1289" max="1289" width="9" style="217"/>
    <col min="1290" max="1290" width="17.125" style="217" bestFit="1" customWidth="1"/>
    <col min="1291" max="1291" width="15.5" style="217" customWidth="1"/>
    <col min="1292" max="1292" width="9" style="217"/>
    <col min="1293" max="1294" width="15.875" style="217" bestFit="1" customWidth="1"/>
    <col min="1295" max="1295" width="9.125" style="217" bestFit="1" customWidth="1"/>
    <col min="1296" max="1296" width="9.375" style="217" bestFit="1" customWidth="1"/>
    <col min="1297" max="1538" width="9" style="217"/>
    <col min="1539" max="1539" width="15.5" style="217" customWidth="1"/>
    <col min="1540" max="1540" width="15.875" style="217" bestFit="1" customWidth="1"/>
    <col min="1541" max="1541" width="15.875" style="217" customWidth="1"/>
    <col min="1542" max="1542" width="15.875" style="217" bestFit="1" customWidth="1"/>
    <col min="1543" max="1543" width="15.125" style="217" customWidth="1"/>
    <col min="1544" max="1544" width="13.75" style="217" customWidth="1"/>
    <col min="1545" max="1545" width="9" style="217"/>
    <col min="1546" max="1546" width="17.125" style="217" bestFit="1" customWidth="1"/>
    <col min="1547" max="1547" width="15.5" style="217" customWidth="1"/>
    <col min="1548" max="1548" width="9" style="217"/>
    <col min="1549" max="1550" width="15.875" style="217" bestFit="1" customWidth="1"/>
    <col min="1551" max="1551" width="9.125" style="217" bestFit="1" customWidth="1"/>
    <col min="1552" max="1552" width="9.375" style="217" bestFit="1" customWidth="1"/>
    <col min="1553" max="1794" width="9" style="217"/>
    <col min="1795" max="1795" width="15.5" style="217" customWidth="1"/>
    <col min="1796" max="1796" width="15.875" style="217" bestFit="1" customWidth="1"/>
    <col min="1797" max="1797" width="15.875" style="217" customWidth="1"/>
    <col min="1798" max="1798" width="15.875" style="217" bestFit="1" customWidth="1"/>
    <col min="1799" max="1799" width="15.125" style="217" customWidth="1"/>
    <col min="1800" max="1800" width="13.75" style="217" customWidth="1"/>
    <col min="1801" max="1801" width="9" style="217"/>
    <col min="1802" max="1802" width="17.125" style="217" bestFit="1" customWidth="1"/>
    <col min="1803" max="1803" width="15.5" style="217" customWidth="1"/>
    <col min="1804" max="1804" width="9" style="217"/>
    <col min="1805" max="1806" width="15.875" style="217" bestFit="1" customWidth="1"/>
    <col min="1807" max="1807" width="9.125" style="217" bestFit="1" customWidth="1"/>
    <col min="1808" max="1808" width="9.375" style="217" bestFit="1" customWidth="1"/>
    <col min="1809" max="2050" width="9" style="217"/>
    <col min="2051" max="2051" width="15.5" style="217" customWidth="1"/>
    <col min="2052" max="2052" width="15.875" style="217" bestFit="1" customWidth="1"/>
    <col min="2053" max="2053" width="15.875" style="217" customWidth="1"/>
    <col min="2054" max="2054" width="15.875" style="217" bestFit="1" customWidth="1"/>
    <col min="2055" max="2055" width="15.125" style="217" customWidth="1"/>
    <col min="2056" max="2056" width="13.75" style="217" customWidth="1"/>
    <col min="2057" max="2057" width="9" style="217"/>
    <col min="2058" max="2058" width="17.125" style="217" bestFit="1" customWidth="1"/>
    <col min="2059" max="2059" width="15.5" style="217" customWidth="1"/>
    <col min="2060" max="2060" width="9" style="217"/>
    <col min="2061" max="2062" width="15.875" style="217" bestFit="1" customWidth="1"/>
    <col min="2063" max="2063" width="9.125" style="217" bestFit="1" customWidth="1"/>
    <col min="2064" max="2064" width="9.375" style="217" bestFit="1" customWidth="1"/>
    <col min="2065" max="2306" width="9" style="217"/>
    <col min="2307" max="2307" width="15.5" style="217" customWidth="1"/>
    <col min="2308" max="2308" width="15.875" style="217" bestFit="1" customWidth="1"/>
    <col min="2309" max="2309" width="15.875" style="217" customWidth="1"/>
    <col min="2310" max="2310" width="15.875" style="217" bestFit="1" customWidth="1"/>
    <col min="2311" max="2311" width="15.125" style="217" customWidth="1"/>
    <col min="2312" max="2312" width="13.75" style="217" customWidth="1"/>
    <col min="2313" max="2313" width="9" style="217"/>
    <col min="2314" max="2314" width="17.125" style="217" bestFit="1" customWidth="1"/>
    <col min="2315" max="2315" width="15.5" style="217" customWidth="1"/>
    <col min="2316" max="2316" width="9" style="217"/>
    <col min="2317" max="2318" width="15.875" style="217" bestFit="1" customWidth="1"/>
    <col min="2319" max="2319" width="9.125" style="217" bestFit="1" customWidth="1"/>
    <col min="2320" max="2320" width="9.375" style="217" bestFit="1" customWidth="1"/>
    <col min="2321" max="2562" width="9" style="217"/>
    <col min="2563" max="2563" width="15.5" style="217" customWidth="1"/>
    <col min="2564" max="2564" width="15.875" style="217" bestFit="1" customWidth="1"/>
    <col min="2565" max="2565" width="15.875" style="217" customWidth="1"/>
    <col min="2566" max="2566" width="15.875" style="217" bestFit="1" customWidth="1"/>
    <col min="2567" max="2567" width="15.125" style="217" customWidth="1"/>
    <col min="2568" max="2568" width="13.75" style="217" customWidth="1"/>
    <col min="2569" max="2569" width="9" style="217"/>
    <col min="2570" max="2570" width="17.125" style="217" bestFit="1" customWidth="1"/>
    <col min="2571" max="2571" width="15.5" style="217" customWidth="1"/>
    <col min="2572" max="2572" width="9" style="217"/>
    <col min="2573" max="2574" width="15.875" style="217" bestFit="1" customWidth="1"/>
    <col min="2575" max="2575" width="9.125" style="217" bestFit="1" customWidth="1"/>
    <col min="2576" max="2576" width="9.375" style="217" bestFit="1" customWidth="1"/>
    <col min="2577" max="2818" width="9" style="217"/>
    <col min="2819" max="2819" width="15.5" style="217" customWidth="1"/>
    <col min="2820" max="2820" width="15.875" style="217" bestFit="1" customWidth="1"/>
    <col min="2821" max="2821" width="15.875" style="217" customWidth="1"/>
    <col min="2822" max="2822" width="15.875" style="217" bestFit="1" customWidth="1"/>
    <col min="2823" max="2823" width="15.125" style="217" customWidth="1"/>
    <col min="2824" max="2824" width="13.75" style="217" customWidth="1"/>
    <col min="2825" max="2825" width="9" style="217"/>
    <col min="2826" max="2826" width="17.125" style="217" bestFit="1" customWidth="1"/>
    <col min="2827" max="2827" width="15.5" style="217" customWidth="1"/>
    <col min="2828" max="2828" width="9" style="217"/>
    <col min="2829" max="2830" width="15.875" style="217" bestFit="1" customWidth="1"/>
    <col min="2831" max="2831" width="9.125" style="217" bestFit="1" customWidth="1"/>
    <col min="2832" max="2832" width="9.375" style="217" bestFit="1" customWidth="1"/>
    <col min="2833" max="3074" width="9" style="217"/>
    <col min="3075" max="3075" width="15.5" style="217" customWidth="1"/>
    <col min="3076" max="3076" width="15.875" style="217" bestFit="1" customWidth="1"/>
    <col min="3077" max="3077" width="15.875" style="217" customWidth="1"/>
    <col min="3078" max="3078" width="15.875" style="217" bestFit="1" customWidth="1"/>
    <col min="3079" max="3079" width="15.125" style="217" customWidth="1"/>
    <col min="3080" max="3080" width="13.75" style="217" customWidth="1"/>
    <col min="3081" max="3081" width="9" style="217"/>
    <col min="3082" max="3082" width="17.125" style="217" bestFit="1" customWidth="1"/>
    <col min="3083" max="3083" width="15.5" style="217" customWidth="1"/>
    <col min="3084" max="3084" width="9" style="217"/>
    <col min="3085" max="3086" width="15.875" style="217" bestFit="1" customWidth="1"/>
    <col min="3087" max="3087" width="9.125" style="217" bestFit="1" customWidth="1"/>
    <col min="3088" max="3088" width="9.375" style="217" bestFit="1" customWidth="1"/>
    <col min="3089" max="3330" width="9" style="217"/>
    <col min="3331" max="3331" width="15.5" style="217" customWidth="1"/>
    <col min="3332" max="3332" width="15.875" style="217" bestFit="1" customWidth="1"/>
    <col min="3333" max="3333" width="15.875" style="217" customWidth="1"/>
    <col min="3334" max="3334" width="15.875" style="217" bestFit="1" customWidth="1"/>
    <col min="3335" max="3335" width="15.125" style="217" customWidth="1"/>
    <col min="3336" max="3336" width="13.75" style="217" customWidth="1"/>
    <col min="3337" max="3337" width="9" style="217"/>
    <col min="3338" max="3338" width="17.125" style="217" bestFit="1" customWidth="1"/>
    <col min="3339" max="3339" width="15.5" style="217" customWidth="1"/>
    <col min="3340" max="3340" width="9" style="217"/>
    <col min="3341" max="3342" width="15.875" style="217" bestFit="1" customWidth="1"/>
    <col min="3343" max="3343" width="9.125" style="217" bestFit="1" customWidth="1"/>
    <col min="3344" max="3344" width="9.375" style="217" bestFit="1" customWidth="1"/>
    <col min="3345" max="3586" width="9" style="217"/>
    <col min="3587" max="3587" width="15.5" style="217" customWidth="1"/>
    <col min="3588" max="3588" width="15.875" style="217" bestFit="1" customWidth="1"/>
    <col min="3589" max="3589" width="15.875" style="217" customWidth="1"/>
    <col min="3590" max="3590" width="15.875" style="217" bestFit="1" customWidth="1"/>
    <col min="3591" max="3591" width="15.125" style="217" customWidth="1"/>
    <col min="3592" max="3592" width="13.75" style="217" customWidth="1"/>
    <col min="3593" max="3593" width="9" style="217"/>
    <col min="3594" max="3594" width="17.125" style="217" bestFit="1" customWidth="1"/>
    <col min="3595" max="3595" width="15.5" style="217" customWidth="1"/>
    <col min="3596" max="3596" width="9" style="217"/>
    <col min="3597" max="3598" width="15.875" style="217" bestFit="1" customWidth="1"/>
    <col min="3599" max="3599" width="9.125" style="217" bestFit="1" customWidth="1"/>
    <col min="3600" max="3600" width="9.375" style="217" bestFit="1" customWidth="1"/>
    <col min="3601" max="3842" width="9" style="217"/>
    <col min="3843" max="3843" width="15.5" style="217" customWidth="1"/>
    <col min="3844" max="3844" width="15.875" style="217" bestFit="1" customWidth="1"/>
    <col min="3845" max="3845" width="15.875" style="217" customWidth="1"/>
    <col min="3846" max="3846" width="15.875" style="217" bestFit="1" customWidth="1"/>
    <col min="3847" max="3847" width="15.125" style="217" customWidth="1"/>
    <col min="3848" max="3848" width="13.75" style="217" customWidth="1"/>
    <col min="3849" max="3849" width="9" style="217"/>
    <col min="3850" max="3850" width="17.125" style="217" bestFit="1" customWidth="1"/>
    <col min="3851" max="3851" width="15.5" style="217" customWidth="1"/>
    <col min="3852" max="3852" width="9" style="217"/>
    <col min="3853" max="3854" width="15.875" style="217" bestFit="1" customWidth="1"/>
    <col min="3855" max="3855" width="9.125" style="217" bestFit="1" customWidth="1"/>
    <col min="3856" max="3856" width="9.375" style="217" bestFit="1" customWidth="1"/>
    <col min="3857" max="4098" width="9" style="217"/>
    <col min="4099" max="4099" width="15.5" style="217" customWidth="1"/>
    <col min="4100" max="4100" width="15.875" style="217" bestFit="1" customWidth="1"/>
    <col min="4101" max="4101" width="15.875" style="217" customWidth="1"/>
    <col min="4102" max="4102" width="15.875" style="217" bestFit="1" customWidth="1"/>
    <col min="4103" max="4103" width="15.125" style="217" customWidth="1"/>
    <col min="4104" max="4104" width="13.75" style="217" customWidth="1"/>
    <col min="4105" max="4105" width="9" style="217"/>
    <col min="4106" max="4106" width="17.125" style="217" bestFit="1" customWidth="1"/>
    <col min="4107" max="4107" width="15.5" style="217" customWidth="1"/>
    <col min="4108" max="4108" width="9" style="217"/>
    <col min="4109" max="4110" width="15.875" style="217" bestFit="1" customWidth="1"/>
    <col min="4111" max="4111" width="9.125" style="217" bestFit="1" customWidth="1"/>
    <col min="4112" max="4112" width="9.375" style="217" bestFit="1" customWidth="1"/>
    <col min="4113" max="4354" width="9" style="217"/>
    <col min="4355" max="4355" width="15.5" style="217" customWidth="1"/>
    <col min="4356" max="4356" width="15.875" style="217" bestFit="1" customWidth="1"/>
    <col min="4357" max="4357" width="15.875" style="217" customWidth="1"/>
    <col min="4358" max="4358" width="15.875" style="217" bestFit="1" customWidth="1"/>
    <col min="4359" max="4359" width="15.125" style="217" customWidth="1"/>
    <col min="4360" max="4360" width="13.75" style="217" customWidth="1"/>
    <col min="4361" max="4361" width="9" style="217"/>
    <col min="4362" max="4362" width="17.125" style="217" bestFit="1" customWidth="1"/>
    <col min="4363" max="4363" width="15.5" style="217" customWidth="1"/>
    <col min="4364" max="4364" width="9" style="217"/>
    <col min="4365" max="4366" width="15.875" style="217" bestFit="1" customWidth="1"/>
    <col min="4367" max="4367" width="9.125" style="217" bestFit="1" customWidth="1"/>
    <col min="4368" max="4368" width="9.375" style="217" bestFit="1" customWidth="1"/>
    <col min="4369" max="4610" width="9" style="217"/>
    <col min="4611" max="4611" width="15.5" style="217" customWidth="1"/>
    <col min="4612" max="4612" width="15.875" style="217" bestFit="1" customWidth="1"/>
    <col min="4613" max="4613" width="15.875" style="217" customWidth="1"/>
    <col min="4614" max="4614" width="15.875" style="217" bestFit="1" customWidth="1"/>
    <col min="4615" max="4615" width="15.125" style="217" customWidth="1"/>
    <col min="4616" max="4616" width="13.75" style="217" customWidth="1"/>
    <col min="4617" max="4617" width="9" style="217"/>
    <col min="4618" max="4618" width="17.125" style="217" bestFit="1" customWidth="1"/>
    <col min="4619" max="4619" width="15.5" style="217" customWidth="1"/>
    <col min="4620" max="4620" width="9" style="217"/>
    <col min="4621" max="4622" width="15.875" style="217" bestFit="1" customWidth="1"/>
    <col min="4623" max="4623" width="9.125" style="217" bestFit="1" customWidth="1"/>
    <col min="4624" max="4624" width="9.375" style="217" bestFit="1" customWidth="1"/>
    <col min="4625" max="4866" width="9" style="217"/>
    <col min="4867" max="4867" width="15.5" style="217" customWidth="1"/>
    <col min="4868" max="4868" width="15.875" style="217" bestFit="1" customWidth="1"/>
    <col min="4869" max="4869" width="15.875" style="217" customWidth="1"/>
    <col min="4870" max="4870" width="15.875" style="217" bestFit="1" customWidth="1"/>
    <col min="4871" max="4871" width="15.125" style="217" customWidth="1"/>
    <col min="4872" max="4872" width="13.75" style="217" customWidth="1"/>
    <col min="4873" max="4873" width="9" style="217"/>
    <col min="4874" max="4874" width="17.125" style="217" bestFit="1" customWidth="1"/>
    <col min="4875" max="4875" width="15.5" style="217" customWidth="1"/>
    <col min="4876" max="4876" width="9" style="217"/>
    <col min="4877" max="4878" width="15.875" style="217" bestFit="1" customWidth="1"/>
    <col min="4879" max="4879" width="9.125" style="217" bestFit="1" customWidth="1"/>
    <col min="4880" max="4880" width="9.375" style="217" bestFit="1" customWidth="1"/>
    <col min="4881" max="5122" width="9" style="217"/>
    <col min="5123" max="5123" width="15.5" style="217" customWidth="1"/>
    <col min="5124" max="5124" width="15.875" style="217" bestFit="1" customWidth="1"/>
    <col min="5125" max="5125" width="15.875" style="217" customWidth="1"/>
    <col min="5126" max="5126" width="15.875" style="217" bestFit="1" customWidth="1"/>
    <col min="5127" max="5127" width="15.125" style="217" customWidth="1"/>
    <col min="5128" max="5128" width="13.75" style="217" customWidth="1"/>
    <col min="5129" max="5129" width="9" style="217"/>
    <col min="5130" max="5130" width="17.125" style="217" bestFit="1" customWidth="1"/>
    <col min="5131" max="5131" width="15.5" style="217" customWidth="1"/>
    <col min="5132" max="5132" width="9" style="217"/>
    <col min="5133" max="5134" width="15.875" style="217" bestFit="1" customWidth="1"/>
    <col min="5135" max="5135" width="9.125" style="217" bestFit="1" customWidth="1"/>
    <col min="5136" max="5136" width="9.375" style="217" bestFit="1" customWidth="1"/>
    <col min="5137" max="5378" width="9" style="217"/>
    <col min="5379" max="5379" width="15.5" style="217" customWidth="1"/>
    <col min="5380" max="5380" width="15.875" style="217" bestFit="1" customWidth="1"/>
    <col min="5381" max="5381" width="15.875" style="217" customWidth="1"/>
    <col min="5382" max="5382" width="15.875" style="217" bestFit="1" customWidth="1"/>
    <col min="5383" max="5383" width="15.125" style="217" customWidth="1"/>
    <col min="5384" max="5384" width="13.75" style="217" customWidth="1"/>
    <col min="5385" max="5385" width="9" style="217"/>
    <col min="5386" max="5386" width="17.125" style="217" bestFit="1" customWidth="1"/>
    <col min="5387" max="5387" width="15.5" style="217" customWidth="1"/>
    <col min="5388" max="5388" width="9" style="217"/>
    <col min="5389" max="5390" width="15.875" style="217" bestFit="1" customWidth="1"/>
    <col min="5391" max="5391" width="9.125" style="217" bestFit="1" customWidth="1"/>
    <col min="5392" max="5392" width="9.375" style="217" bestFit="1" customWidth="1"/>
    <col min="5393" max="5634" width="9" style="217"/>
    <col min="5635" max="5635" width="15.5" style="217" customWidth="1"/>
    <col min="5636" max="5636" width="15.875" style="217" bestFit="1" customWidth="1"/>
    <col min="5637" max="5637" width="15.875" style="217" customWidth="1"/>
    <col min="5638" max="5638" width="15.875" style="217" bestFit="1" customWidth="1"/>
    <col min="5639" max="5639" width="15.125" style="217" customWidth="1"/>
    <col min="5640" max="5640" width="13.75" style="217" customWidth="1"/>
    <col min="5641" max="5641" width="9" style="217"/>
    <col min="5642" max="5642" width="17.125" style="217" bestFit="1" customWidth="1"/>
    <col min="5643" max="5643" width="15.5" style="217" customWidth="1"/>
    <col min="5644" max="5644" width="9" style="217"/>
    <col min="5645" max="5646" width="15.875" style="217" bestFit="1" customWidth="1"/>
    <col min="5647" max="5647" width="9.125" style="217" bestFit="1" customWidth="1"/>
    <col min="5648" max="5648" width="9.375" style="217" bestFit="1" customWidth="1"/>
    <col min="5649" max="5890" width="9" style="217"/>
    <col min="5891" max="5891" width="15.5" style="217" customWidth="1"/>
    <col min="5892" max="5892" width="15.875" style="217" bestFit="1" customWidth="1"/>
    <col min="5893" max="5893" width="15.875" style="217" customWidth="1"/>
    <col min="5894" max="5894" width="15.875" style="217" bestFit="1" customWidth="1"/>
    <col min="5895" max="5895" width="15.125" style="217" customWidth="1"/>
    <col min="5896" max="5896" width="13.75" style="217" customWidth="1"/>
    <col min="5897" max="5897" width="9" style="217"/>
    <col min="5898" max="5898" width="17.125" style="217" bestFit="1" customWidth="1"/>
    <col min="5899" max="5899" width="15.5" style="217" customWidth="1"/>
    <col min="5900" max="5900" width="9" style="217"/>
    <col min="5901" max="5902" width="15.875" style="217" bestFit="1" customWidth="1"/>
    <col min="5903" max="5903" width="9.125" style="217" bestFit="1" customWidth="1"/>
    <col min="5904" max="5904" width="9.375" style="217" bestFit="1" customWidth="1"/>
    <col min="5905" max="6146" width="9" style="217"/>
    <col min="6147" max="6147" width="15.5" style="217" customWidth="1"/>
    <col min="6148" max="6148" width="15.875" style="217" bestFit="1" customWidth="1"/>
    <col min="6149" max="6149" width="15.875" style="217" customWidth="1"/>
    <col min="6150" max="6150" width="15.875" style="217" bestFit="1" customWidth="1"/>
    <col min="6151" max="6151" width="15.125" style="217" customWidth="1"/>
    <col min="6152" max="6152" width="13.75" style="217" customWidth="1"/>
    <col min="6153" max="6153" width="9" style="217"/>
    <col min="6154" max="6154" width="17.125" style="217" bestFit="1" customWidth="1"/>
    <col min="6155" max="6155" width="15.5" style="217" customWidth="1"/>
    <col min="6156" max="6156" width="9" style="217"/>
    <col min="6157" max="6158" width="15.875" style="217" bestFit="1" customWidth="1"/>
    <col min="6159" max="6159" width="9.125" style="217" bestFit="1" customWidth="1"/>
    <col min="6160" max="6160" width="9.375" style="217" bestFit="1" customWidth="1"/>
    <col min="6161" max="6402" width="9" style="217"/>
    <col min="6403" max="6403" width="15.5" style="217" customWidth="1"/>
    <col min="6404" max="6404" width="15.875" style="217" bestFit="1" customWidth="1"/>
    <col min="6405" max="6405" width="15.875" style="217" customWidth="1"/>
    <col min="6406" max="6406" width="15.875" style="217" bestFit="1" customWidth="1"/>
    <col min="6407" max="6407" width="15.125" style="217" customWidth="1"/>
    <col min="6408" max="6408" width="13.75" style="217" customWidth="1"/>
    <col min="6409" max="6409" width="9" style="217"/>
    <col min="6410" max="6410" width="17.125" style="217" bestFit="1" customWidth="1"/>
    <col min="6411" max="6411" width="15.5" style="217" customWidth="1"/>
    <col min="6412" max="6412" width="9" style="217"/>
    <col min="6413" max="6414" width="15.875" style="217" bestFit="1" customWidth="1"/>
    <col min="6415" max="6415" width="9.125" style="217" bestFit="1" customWidth="1"/>
    <col min="6416" max="6416" width="9.375" style="217" bestFit="1" customWidth="1"/>
    <col min="6417" max="6658" width="9" style="217"/>
    <col min="6659" max="6659" width="15.5" style="217" customWidth="1"/>
    <col min="6660" max="6660" width="15.875" style="217" bestFit="1" customWidth="1"/>
    <col min="6661" max="6661" width="15.875" style="217" customWidth="1"/>
    <col min="6662" max="6662" width="15.875" style="217" bestFit="1" customWidth="1"/>
    <col min="6663" max="6663" width="15.125" style="217" customWidth="1"/>
    <col min="6664" max="6664" width="13.75" style="217" customWidth="1"/>
    <col min="6665" max="6665" width="9" style="217"/>
    <col min="6666" max="6666" width="17.125" style="217" bestFit="1" customWidth="1"/>
    <col min="6667" max="6667" width="15.5" style="217" customWidth="1"/>
    <col min="6668" max="6668" width="9" style="217"/>
    <col min="6669" max="6670" width="15.875" style="217" bestFit="1" customWidth="1"/>
    <col min="6671" max="6671" width="9.125" style="217" bestFit="1" customWidth="1"/>
    <col min="6672" max="6672" width="9.375" style="217" bestFit="1" customWidth="1"/>
    <col min="6673" max="6914" width="9" style="217"/>
    <col min="6915" max="6915" width="15.5" style="217" customWidth="1"/>
    <col min="6916" max="6916" width="15.875" style="217" bestFit="1" customWidth="1"/>
    <col min="6917" max="6917" width="15.875" style="217" customWidth="1"/>
    <col min="6918" max="6918" width="15.875" style="217" bestFit="1" customWidth="1"/>
    <col min="6919" max="6919" width="15.125" style="217" customWidth="1"/>
    <col min="6920" max="6920" width="13.75" style="217" customWidth="1"/>
    <col min="6921" max="6921" width="9" style="217"/>
    <col min="6922" max="6922" width="17.125" style="217" bestFit="1" customWidth="1"/>
    <col min="6923" max="6923" width="15.5" style="217" customWidth="1"/>
    <col min="6924" max="6924" width="9" style="217"/>
    <col min="6925" max="6926" width="15.875" style="217" bestFit="1" customWidth="1"/>
    <col min="6927" max="6927" width="9.125" style="217" bestFit="1" customWidth="1"/>
    <col min="6928" max="6928" width="9.375" style="217" bestFit="1" customWidth="1"/>
    <col min="6929" max="7170" width="9" style="217"/>
    <col min="7171" max="7171" width="15.5" style="217" customWidth="1"/>
    <col min="7172" max="7172" width="15.875" style="217" bestFit="1" customWidth="1"/>
    <col min="7173" max="7173" width="15.875" style="217" customWidth="1"/>
    <col min="7174" max="7174" width="15.875" style="217" bestFit="1" customWidth="1"/>
    <col min="7175" max="7175" width="15.125" style="217" customWidth="1"/>
    <col min="7176" max="7176" width="13.75" style="217" customWidth="1"/>
    <col min="7177" max="7177" width="9" style="217"/>
    <col min="7178" max="7178" width="17.125" style="217" bestFit="1" customWidth="1"/>
    <col min="7179" max="7179" width="15.5" style="217" customWidth="1"/>
    <col min="7180" max="7180" width="9" style="217"/>
    <col min="7181" max="7182" width="15.875" style="217" bestFit="1" customWidth="1"/>
    <col min="7183" max="7183" width="9.125" style="217" bestFit="1" customWidth="1"/>
    <col min="7184" max="7184" width="9.375" style="217" bestFit="1" customWidth="1"/>
    <col min="7185" max="7426" width="9" style="217"/>
    <col min="7427" max="7427" width="15.5" style="217" customWidth="1"/>
    <col min="7428" max="7428" width="15.875" style="217" bestFit="1" customWidth="1"/>
    <col min="7429" max="7429" width="15.875" style="217" customWidth="1"/>
    <col min="7430" max="7430" width="15.875" style="217" bestFit="1" customWidth="1"/>
    <col min="7431" max="7431" width="15.125" style="217" customWidth="1"/>
    <col min="7432" max="7432" width="13.75" style="217" customWidth="1"/>
    <col min="7433" max="7433" width="9" style="217"/>
    <col min="7434" max="7434" width="17.125" style="217" bestFit="1" customWidth="1"/>
    <col min="7435" max="7435" width="15.5" style="217" customWidth="1"/>
    <col min="7436" max="7436" width="9" style="217"/>
    <col min="7437" max="7438" width="15.875" style="217" bestFit="1" customWidth="1"/>
    <col min="7439" max="7439" width="9.125" style="217" bestFit="1" customWidth="1"/>
    <col min="7440" max="7440" width="9.375" style="217" bestFit="1" customWidth="1"/>
    <col min="7441" max="7682" width="9" style="217"/>
    <col min="7683" max="7683" width="15.5" style="217" customWidth="1"/>
    <col min="7684" max="7684" width="15.875" style="217" bestFit="1" customWidth="1"/>
    <col min="7685" max="7685" width="15.875" style="217" customWidth="1"/>
    <col min="7686" max="7686" width="15.875" style="217" bestFit="1" customWidth="1"/>
    <col min="7687" max="7687" width="15.125" style="217" customWidth="1"/>
    <col min="7688" max="7688" width="13.75" style="217" customWidth="1"/>
    <col min="7689" max="7689" width="9" style="217"/>
    <col min="7690" max="7690" width="17.125" style="217" bestFit="1" customWidth="1"/>
    <col min="7691" max="7691" width="15.5" style="217" customWidth="1"/>
    <col min="7692" max="7692" width="9" style="217"/>
    <col min="7693" max="7694" width="15.875" style="217" bestFit="1" customWidth="1"/>
    <col min="7695" max="7695" width="9.125" style="217" bestFit="1" customWidth="1"/>
    <col min="7696" max="7696" width="9.375" style="217" bestFit="1" customWidth="1"/>
    <col min="7697" max="7938" width="9" style="217"/>
    <col min="7939" max="7939" width="15.5" style="217" customWidth="1"/>
    <col min="7940" max="7940" width="15.875" style="217" bestFit="1" customWidth="1"/>
    <col min="7941" max="7941" width="15.875" style="217" customWidth="1"/>
    <col min="7942" max="7942" width="15.875" style="217" bestFit="1" customWidth="1"/>
    <col min="7943" max="7943" width="15.125" style="217" customWidth="1"/>
    <col min="7944" max="7944" width="13.75" style="217" customWidth="1"/>
    <col min="7945" max="7945" width="9" style="217"/>
    <col min="7946" max="7946" width="17.125" style="217" bestFit="1" customWidth="1"/>
    <col min="7947" max="7947" width="15.5" style="217" customWidth="1"/>
    <col min="7948" max="7948" width="9" style="217"/>
    <col min="7949" max="7950" width="15.875" style="217" bestFit="1" customWidth="1"/>
    <col min="7951" max="7951" width="9.125" style="217" bestFit="1" customWidth="1"/>
    <col min="7952" max="7952" width="9.375" style="217" bestFit="1" customWidth="1"/>
    <col min="7953" max="8194" width="9" style="217"/>
    <col min="8195" max="8195" width="15.5" style="217" customWidth="1"/>
    <col min="8196" max="8196" width="15.875" style="217" bestFit="1" customWidth="1"/>
    <col min="8197" max="8197" width="15.875" style="217" customWidth="1"/>
    <col min="8198" max="8198" width="15.875" style="217" bestFit="1" customWidth="1"/>
    <col min="8199" max="8199" width="15.125" style="217" customWidth="1"/>
    <col min="8200" max="8200" width="13.75" style="217" customWidth="1"/>
    <col min="8201" max="8201" width="9" style="217"/>
    <col min="8202" max="8202" width="17.125" style="217" bestFit="1" customWidth="1"/>
    <col min="8203" max="8203" width="15.5" style="217" customWidth="1"/>
    <col min="8204" max="8204" width="9" style="217"/>
    <col min="8205" max="8206" width="15.875" style="217" bestFit="1" customWidth="1"/>
    <col min="8207" max="8207" width="9.125" style="217" bestFit="1" customWidth="1"/>
    <col min="8208" max="8208" width="9.375" style="217" bestFit="1" customWidth="1"/>
    <col min="8209" max="8450" width="9" style="217"/>
    <col min="8451" max="8451" width="15.5" style="217" customWidth="1"/>
    <col min="8452" max="8452" width="15.875" style="217" bestFit="1" customWidth="1"/>
    <col min="8453" max="8453" width="15.875" style="217" customWidth="1"/>
    <col min="8454" max="8454" width="15.875" style="217" bestFit="1" customWidth="1"/>
    <col min="8455" max="8455" width="15.125" style="217" customWidth="1"/>
    <col min="8456" max="8456" width="13.75" style="217" customWidth="1"/>
    <col min="8457" max="8457" width="9" style="217"/>
    <col min="8458" max="8458" width="17.125" style="217" bestFit="1" customWidth="1"/>
    <col min="8459" max="8459" width="15.5" style="217" customWidth="1"/>
    <col min="8460" max="8460" width="9" style="217"/>
    <col min="8461" max="8462" width="15.875" style="217" bestFit="1" customWidth="1"/>
    <col min="8463" max="8463" width="9.125" style="217" bestFit="1" customWidth="1"/>
    <col min="8464" max="8464" width="9.375" style="217" bestFit="1" customWidth="1"/>
    <col min="8465" max="8706" width="9" style="217"/>
    <col min="8707" max="8707" width="15.5" style="217" customWidth="1"/>
    <col min="8708" max="8708" width="15.875" style="217" bestFit="1" customWidth="1"/>
    <col min="8709" max="8709" width="15.875" style="217" customWidth="1"/>
    <col min="8710" max="8710" width="15.875" style="217" bestFit="1" customWidth="1"/>
    <col min="8711" max="8711" width="15.125" style="217" customWidth="1"/>
    <col min="8712" max="8712" width="13.75" style="217" customWidth="1"/>
    <col min="8713" max="8713" width="9" style="217"/>
    <col min="8714" max="8714" width="17.125" style="217" bestFit="1" customWidth="1"/>
    <col min="8715" max="8715" width="15.5" style="217" customWidth="1"/>
    <col min="8716" max="8716" width="9" style="217"/>
    <col min="8717" max="8718" width="15.875" style="217" bestFit="1" customWidth="1"/>
    <col min="8719" max="8719" width="9.125" style="217" bestFit="1" customWidth="1"/>
    <col min="8720" max="8720" width="9.375" style="217" bestFit="1" customWidth="1"/>
    <col min="8721" max="8962" width="9" style="217"/>
    <col min="8963" max="8963" width="15.5" style="217" customWidth="1"/>
    <col min="8964" max="8964" width="15.875" style="217" bestFit="1" customWidth="1"/>
    <col min="8965" max="8965" width="15.875" style="217" customWidth="1"/>
    <col min="8966" max="8966" width="15.875" style="217" bestFit="1" customWidth="1"/>
    <col min="8967" max="8967" width="15.125" style="217" customWidth="1"/>
    <col min="8968" max="8968" width="13.75" style="217" customWidth="1"/>
    <col min="8969" max="8969" width="9" style="217"/>
    <col min="8970" max="8970" width="17.125" style="217" bestFit="1" customWidth="1"/>
    <col min="8971" max="8971" width="15.5" style="217" customWidth="1"/>
    <col min="8972" max="8972" width="9" style="217"/>
    <col min="8973" max="8974" width="15.875" style="217" bestFit="1" customWidth="1"/>
    <col min="8975" max="8975" width="9.125" style="217" bestFit="1" customWidth="1"/>
    <col min="8976" max="8976" width="9.375" style="217" bestFit="1" customWidth="1"/>
    <col min="8977" max="9218" width="9" style="217"/>
    <col min="9219" max="9219" width="15.5" style="217" customWidth="1"/>
    <col min="9220" max="9220" width="15.875" style="217" bestFit="1" customWidth="1"/>
    <col min="9221" max="9221" width="15.875" style="217" customWidth="1"/>
    <col min="9222" max="9222" width="15.875" style="217" bestFit="1" customWidth="1"/>
    <col min="9223" max="9223" width="15.125" style="217" customWidth="1"/>
    <col min="9224" max="9224" width="13.75" style="217" customWidth="1"/>
    <col min="9225" max="9225" width="9" style="217"/>
    <col min="9226" max="9226" width="17.125" style="217" bestFit="1" customWidth="1"/>
    <col min="9227" max="9227" width="15.5" style="217" customWidth="1"/>
    <col min="9228" max="9228" width="9" style="217"/>
    <col min="9229" max="9230" width="15.875" style="217" bestFit="1" customWidth="1"/>
    <col min="9231" max="9231" width="9.125" style="217" bestFit="1" customWidth="1"/>
    <col min="9232" max="9232" width="9.375" style="217" bestFit="1" customWidth="1"/>
    <col min="9233" max="9474" width="9" style="217"/>
    <col min="9475" max="9475" width="15.5" style="217" customWidth="1"/>
    <col min="9476" max="9476" width="15.875" style="217" bestFit="1" customWidth="1"/>
    <col min="9477" max="9477" width="15.875" style="217" customWidth="1"/>
    <col min="9478" max="9478" width="15.875" style="217" bestFit="1" customWidth="1"/>
    <col min="9479" max="9479" width="15.125" style="217" customWidth="1"/>
    <col min="9480" max="9480" width="13.75" style="217" customWidth="1"/>
    <col min="9481" max="9481" width="9" style="217"/>
    <col min="9482" max="9482" width="17.125" style="217" bestFit="1" customWidth="1"/>
    <col min="9483" max="9483" width="15.5" style="217" customWidth="1"/>
    <col min="9484" max="9484" width="9" style="217"/>
    <col min="9485" max="9486" width="15.875" style="217" bestFit="1" customWidth="1"/>
    <col min="9487" max="9487" width="9.125" style="217" bestFit="1" customWidth="1"/>
    <col min="9488" max="9488" width="9.375" style="217" bestFit="1" customWidth="1"/>
    <col min="9489" max="9730" width="9" style="217"/>
    <col min="9731" max="9731" width="15.5" style="217" customWidth="1"/>
    <col min="9732" max="9732" width="15.875" style="217" bestFit="1" customWidth="1"/>
    <col min="9733" max="9733" width="15.875" style="217" customWidth="1"/>
    <col min="9734" max="9734" width="15.875" style="217" bestFit="1" customWidth="1"/>
    <col min="9735" max="9735" width="15.125" style="217" customWidth="1"/>
    <col min="9736" max="9736" width="13.75" style="217" customWidth="1"/>
    <col min="9737" max="9737" width="9" style="217"/>
    <col min="9738" max="9738" width="17.125" style="217" bestFit="1" customWidth="1"/>
    <col min="9739" max="9739" width="15.5" style="217" customWidth="1"/>
    <col min="9740" max="9740" width="9" style="217"/>
    <col min="9741" max="9742" width="15.875" style="217" bestFit="1" customWidth="1"/>
    <col min="9743" max="9743" width="9.125" style="217" bestFit="1" customWidth="1"/>
    <col min="9744" max="9744" width="9.375" style="217" bestFit="1" customWidth="1"/>
    <col min="9745" max="9986" width="9" style="217"/>
    <col min="9987" max="9987" width="15.5" style="217" customWidth="1"/>
    <col min="9988" max="9988" width="15.875" style="217" bestFit="1" customWidth="1"/>
    <col min="9989" max="9989" width="15.875" style="217" customWidth="1"/>
    <col min="9990" max="9990" width="15.875" style="217" bestFit="1" customWidth="1"/>
    <col min="9991" max="9991" width="15.125" style="217" customWidth="1"/>
    <col min="9992" max="9992" width="13.75" style="217" customWidth="1"/>
    <col min="9993" max="9993" width="9" style="217"/>
    <col min="9994" max="9994" width="17.125" style="217" bestFit="1" customWidth="1"/>
    <col min="9995" max="9995" width="15.5" style="217" customWidth="1"/>
    <col min="9996" max="9996" width="9" style="217"/>
    <col min="9997" max="9998" width="15.875" style="217" bestFit="1" customWidth="1"/>
    <col min="9999" max="9999" width="9.125" style="217" bestFit="1" customWidth="1"/>
    <col min="10000" max="10000" width="9.375" style="217" bestFit="1" customWidth="1"/>
    <col min="10001" max="10242" width="9" style="217"/>
    <col min="10243" max="10243" width="15.5" style="217" customWidth="1"/>
    <col min="10244" max="10244" width="15.875" style="217" bestFit="1" customWidth="1"/>
    <col min="10245" max="10245" width="15.875" style="217" customWidth="1"/>
    <col min="10246" max="10246" width="15.875" style="217" bestFit="1" customWidth="1"/>
    <col min="10247" max="10247" width="15.125" style="217" customWidth="1"/>
    <col min="10248" max="10248" width="13.75" style="217" customWidth="1"/>
    <col min="10249" max="10249" width="9" style="217"/>
    <col min="10250" max="10250" width="17.125" style="217" bestFit="1" customWidth="1"/>
    <col min="10251" max="10251" width="15.5" style="217" customWidth="1"/>
    <col min="10252" max="10252" width="9" style="217"/>
    <col min="10253" max="10254" width="15.875" style="217" bestFit="1" customWidth="1"/>
    <col min="10255" max="10255" width="9.125" style="217" bestFit="1" customWidth="1"/>
    <col min="10256" max="10256" width="9.375" style="217" bestFit="1" customWidth="1"/>
    <col min="10257" max="10498" width="9" style="217"/>
    <col min="10499" max="10499" width="15.5" style="217" customWidth="1"/>
    <col min="10500" max="10500" width="15.875" style="217" bestFit="1" customWidth="1"/>
    <col min="10501" max="10501" width="15.875" style="217" customWidth="1"/>
    <col min="10502" max="10502" width="15.875" style="217" bestFit="1" customWidth="1"/>
    <col min="10503" max="10503" width="15.125" style="217" customWidth="1"/>
    <col min="10504" max="10504" width="13.75" style="217" customWidth="1"/>
    <col min="10505" max="10505" width="9" style="217"/>
    <col min="10506" max="10506" width="17.125" style="217" bestFit="1" customWidth="1"/>
    <col min="10507" max="10507" width="15.5" style="217" customWidth="1"/>
    <col min="10508" max="10508" width="9" style="217"/>
    <col min="10509" max="10510" width="15.875" style="217" bestFit="1" customWidth="1"/>
    <col min="10511" max="10511" width="9.125" style="217" bestFit="1" customWidth="1"/>
    <col min="10512" max="10512" width="9.375" style="217" bestFit="1" customWidth="1"/>
    <col min="10513" max="10754" width="9" style="217"/>
    <col min="10755" max="10755" width="15.5" style="217" customWidth="1"/>
    <col min="10756" max="10756" width="15.875" style="217" bestFit="1" customWidth="1"/>
    <col min="10757" max="10757" width="15.875" style="217" customWidth="1"/>
    <col min="10758" max="10758" width="15.875" style="217" bestFit="1" customWidth="1"/>
    <col min="10759" max="10759" width="15.125" style="217" customWidth="1"/>
    <col min="10760" max="10760" width="13.75" style="217" customWidth="1"/>
    <col min="10761" max="10761" width="9" style="217"/>
    <col min="10762" max="10762" width="17.125" style="217" bestFit="1" customWidth="1"/>
    <col min="10763" max="10763" width="15.5" style="217" customWidth="1"/>
    <col min="10764" max="10764" width="9" style="217"/>
    <col min="10765" max="10766" width="15.875" style="217" bestFit="1" customWidth="1"/>
    <col min="10767" max="10767" width="9.125" style="217" bestFit="1" customWidth="1"/>
    <col min="10768" max="10768" width="9.375" style="217" bestFit="1" customWidth="1"/>
    <col min="10769" max="11010" width="9" style="217"/>
    <col min="11011" max="11011" width="15.5" style="217" customWidth="1"/>
    <col min="11012" max="11012" width="15.875" style="217" bestFit="1" customWidth="1"/>
    <col min="11013" max="11013" width="15.875" style="217" customWidth="1"/>
    <col min="11014" max="11014" width="15.875" style="217" bestFit="1" customWidth="1"/>
    <col min="11015" max="11015" width="15.125" style="217" customWidth="1"/>
    <col min="11016" max="11016" width="13.75" style="217" customWidth="1"/>
    <col min="11017" max="11017" width="9" style="217"/>
    <col min="11018" max="11018" width="17.125" style="217" bestFit="1" customWidth="1"/>
    <col min="11019" max="11019" width="15.5" style="217" customWidth="1"/>
    <col min="11020" max="11020" width="9" style="217"/>
    <col min="11021" max="11022" width="15.875" style="217" bestFit="1" customWidth="1"/>
    <col min="11023" max="11023" width="9.125" style="217" bestFit="1" customWidth="1"/>
    <col min="11024" max="11024" width="9.375" style="217" bestFit="1" customWidth="1"/>
    <col min="11025" max="11266" width="9" style="217"/>
    <col min="11267" max="11267" width="15.5" style="217" customWidth="1"/>
    <col min="11268" max="11268" width="15.875" style="217" bestFit="1" customWidth="1"/>
    <col min="11269" max="11269" width="15.875" style="217" customWidth="1"/>
    <col min="11270" max="11270" width="15.875" style="217" bestFit="1" customWidth="1"/>
    <col min="11271" max="11271" width="15.125" style="217" customWidth="1"/>
    <col min="11272" max="11272" width="13.75" style="217" customWidth="1"/>
    <col min="11273" max="11273" width="9" style="217"/>
    <col min="11274" max="11274" width="17.125" style="217" bestFit="1" customWidth="1"/>
    <col min="11275" max="11275" width="15.5" style="217" customWidth="1"/>
    <col min="11276" max="11276" width="9" style="217"/>
    <col min="11277" max="11278" width="15.875" style="217" bestFit="1" customWidth="1"/>
    <col min="11279" max="11279" width="9.125" style="217" bestFit="1" customWidth="1"/>
    <col min="11280" max="11280" width="9.375" style="217" bestFit="1" customWidth="1"/>
    <col min="11281" max="11522" width="9" style="217"/>
    <col min="11523" max="11523" width="15.5" style="217" customWidth="1"/>
    <col min="11524" max="11524" width="15.875" style="217" bestFit="1" customWidth="1"/>
    <col min="11525" max="11525" width="15.875" style="217" customWidth="1"/>
    <col min="11526" max="11526" width="15.875" style="217" bestFit="1" customWidth="1"/>
    <col min="11527" max="11527" width="15.125" style="217" customWidth="1"/>
    <col min="11528" max="11528" width="13.75" style="217" customWidth="1"/>
    <col min="11529" max="11529" width="9" style="217"/>
    <col min="11530" max="11530" width="17.125" style="217" bestFit="1" customWidth="1"/>
    <col min="11531" max="11531" width="15.5" style="217" customWidth="1"/>
    <col min="11532" max="11532" width="9" style="217"/>
    <col min="11533" max="11534" width="15.875" style="217" bestFit="1" customWidth="1"/>
    <col min="11535" max="11535" width="9.125" style="217" bestFit="1" customWidth="1"/>
    <col min="11536" max="11536" width="9.375" style="217" bestFit="1" customWidth="1"/>
    <col min="11537" max="11778" width="9" style="217"/>
    <col min="11779" max="11779" width="15.5" style="217" customWidth="1"/>
    <col min="11780" max="11780" width="15.875" style="217" bestFit="1" customWidth="1"/>
    <col min="11781" max="11781" width="15.875" style="217" customWidth="1"/>
    <col min="11782" max="11782" width="15.875" style="217" bestFit="1" customWidth="1"/>
    <col min="11783" max="11783" width="15.125" style="217" customWidth="1"/>
    <col min="11784" max="11784" width="13.75" style="217" customWidth="1"/>
    <col min="11785" max="11785" width="9" style="217"/>
    <col min="11786" max="11786" width="17.125" style="217" bestFit="1" customWidth="1"/>
    <col min="11787" max="11787" width="15.5" style="217" customWidth="1"/>
    <col min="11788" max="11788" width="9" style="217"/>
    <col min="11789" max="11790" width="15.875" style="217" bestFit="1" customWidth="1"/>
    <col min="11791" max="11791" width="9.125" style="217" bestFit="1" customWidth="1"/>
    <col min="11792" max="11792" width="9.375" style="217" bestFit="1" customWidth="1"/>
    <col min="11793" max="12034" width="9" style="217"/>
    <col min="12035" max="12035" width="15.5" style="217" customWidth="1"/>
    <col min="12036" max="12036" width="15.875" style="217" bestFit="1" customWidth="1"/>
    <col min="12037" max="12037" width="15.875" style="217" customWidth="1"/>
    <col min="12038" max="12038" width="15.875" style="217" bestFit="1" customWidth="1"/>
    <col min="12039" max="12039" width="15.125" style="217" customWidth="1"/>
    <col min="12040" max="12040" width="13.75" style="217" customWidth="1"/>
    <col min="12041" max="12041" width="9" style="217"/>
    <col min="12042" max="12042" width="17.125" style="217" bestFit="1" customWidth="1"/>
    <col min="12043" max="12043" width="15.5" style="217" customWidth="1"/>
    <col min="12044" max="12044" width="9" style="217"/>
    <col min="12045" max="12046" width="15.875" style="217" bestFit="1" customWidth="1"/>
    <col min="12047" max="12047" width="9.125" style="217" bestFit="1" customWidth="1"/>
    <col min="12048" max="12048" width="9.375" style="217" bestFit="1" customWidth="1"/>
    <col min="12049" max="12290" width="9" style="217"/>
    <col min="12291" max="12291" width="15.5" style="217" customWidth="1"/>
    <col min="12292" max="12292" width="15.875" style="217" bestFit="1" customWidth="1"/>
    <col min="12293" max="12293" width="15.875" style="217" customWidth="1"/>
    <col min="12294" max="12294" width="15.875" style="217" bestFit="1" customWidth="1"/>
    <col min="12295" max="12295" width="15.125" style="217" customWidth="1"/>
    <col min="12296" max="12296" width="13.75" style="217" customWidth="1"/>
    <col min="12297" max="12297" width="9" style="217"/>
    <col min="12298" max="12298" width="17.125" style="217" bestFit="1" customWidth="1"/>
    <col min="12299" max="12299" width="15.5" style="217" customWidth="1"/>
    <col min="12300" max="12300" width="9" style="217"/>
    <col min="12301" max="12302" width="15.875" style="217" bestFit="1" customWidth="1"/>
    <col min="12303" max="12303" width="9.125" style="217" bestFit="1" customWidth="1"/>
    <col min="12304" max="12304" width="9.375" style="217" bestFit="1" customWidth="1"/>
    <col min="12305" max="12546" width="9" style="217"/>
    <col min="12547" max="12547" width="15.5" style="217" customWidth="1"/>
    <col min="12548" max="12548" width="15.875" style="217" bestFit="1" customWidth="1"/>
    <col min="12549" max="12549" width="15.875" style="217" customWidth="1"/>
    <col min="12550" max="12550" width="15.875" style="217" bestFit="1" customWidth="1"/>
    <col min="12551" max="12551" width="15.125" style="217" customWidth="1"/>
    <col min="12552" max="12552" width="13.75" style="217" customWidth="1"/>
    <col min="12553" max="12553" width="9" style="217"/>
    <col min="12554" max="12554" width="17.125" style="217" bestFit="1" customWidth="1"/>
    <col min="12555" max="12555" width="15.5" style="217" customWidth="1"/>
    <col min="12556" max="12556" width="9" style="217"/>
    <col min="12557" max="12558" width="15.875" style="217" bestFit="1" customWidth="1"/>
    <col min="12559" max="12559" width="9.125" style="217" bestFit="1" customWidth="1"/>
    <col min="12560" max="12560" width="9.375" style="217" bestFit="1" customWidth="1"/>
    <col min="12561" max="12802" width="9" style="217"/>
    <col min="12803" max="12803" width="15.5" style="217" customWidth="1"/>
    <col min="12804" max="12804" width="15.875" style="217" bestFit="1" customWidth="1"/>
    <col min="12805" max="12805" width="15.875" style="217" customWidth="1"/>
    <col min="12806" max="12806" width="15.875" style="217" bestFit="1" customWidth="1"/>
    <col min="12807" max="12807" width="15.125" style="217" customWidth="1"/>
    <col min="12808" max="12808" width="13.75" style="217" customWidth="1"/>
    <col min="12809" max="12809" width="9" style="217"/>
    <col min="12810" max="12810" width="17.125" style="217" bestFit="1" customWidth="1"/>
    <col min="12811" max="12811" width="15.5" style="217" customWidth="1"/>
    <col min="12812" max="12812" width="9" style="217"/>
    <col min="12813" max="12814" width="15.875" style="217" bestFit="1" customWidth="1"/>
    <col min="12815" max="12815" width="9.125" style="217" bestFit="1" customWidth="1"/>
    <col min="12816" max="12816" width="9.375" style="217" bestFit="1" customWidth="1"/>
    <col min="12817" max="13058" width="9" style="217"/>
    <col min="13059" max="13059" width="15.5" style="217" customWidth="1"/>
    <col min="13060" max="13060" width="15.875" style="217" bestFit="1" customWidth="1"/>
    <col min="13061" max="13061" width="15.875" style="217" customWidth="1"/>
    <col min="13062" max="13062" width="15.875" style="217" bestFit="1" customWidth="1"/>
    <col min="13063" max="13063" width="15.125" style="217" customWidth="1"/>
    <col min="13064" max="13064" width="13.75" style="217" customWidth="1"/>
    <col min="13065" max="13065" width="9" style="217"/>
    <col min="13066" max="13066" width="17.125" style="217" bestFit="1" customWidth="1"/>
    <col min="13067" max="13067" width="15.5" style="217" customWidth="1"/>
    <col min="13068" max="13068" width="9" style="217"/>
    <col min="13069" max="13070" width="15.875" style="217" bestFit="1" customWidth="1"/>
    <col min="13071" max="13071" width="9.125" style="217" bestFit="1" customWidth="1"/>
    <col min="13072" max="13072" width="9.375" style="217" bestFit="1" customWidth="1"/>
    <col min="13073" max="13314" width="9" style="217"/>
    <col min="13315" max="13315" width="15.5" style="217" customWidth="1"/>
    <col min="13316" max="13316" width="15.875" style="217" bestFit="1" customWidth="1"/>
    <col min="13317" max="13317" width="15.875" style="217" customWidth="1"/>
    <col min="13318" max="13318" width="15.875" style="217" bestFit="1" customWidth="1"/>
    <col min="13319" max="13319" width="15.125" style="217" customWidth="1"/>
    <col min="13320" max="13320" width="13.75" style="217" customWidth="1"/>
    <col min="13321" max="13321" width="9" style="217"/>
    <col min="13322" max="13322" width="17.125" style="217" bestFit="1" customWidth="1"/>
    <col min="13323" max="13323" width="15.5" style="217" customWidth="1"/>
    <col min="13324" max="13324" width="9" style="217"/>
    <col min="13325" max="13326" width="15.875" style="217" bestFit="1" customWidth="1"/>
    <col min="13327" max="13327" width="9.125" style="217" bestFit="1" customWidth="1"/>
    <col min="13328" max="13328" width="9.375" style="217" bestFit="1" customWidth="1"/>
    <col min="13329" max="13570" width="9" style="217"/>
    <col min="13571" max="13571" width="15.5" style="217" customWidth="1"/>
    <col min="13572" max="13572" width="15.875" style="217" bestFit="1" customWidth="1"/>
    <col min="13573" max="13573" width="15.875" style="217" customWidth="1"/>
    <col min="13574" max="13574" width="15.875" style="217" bestFit="1" customWidth="1"/>
    <col min="13575" max="13575" width="15.125" style="217" customWidth="1"/>
    <col min="13576" max="13576" width="13.75" style="217" customWidth="1"/>
    <col min="13577" max="13577" width="9" style="217"/>
    <col min="13578" max="13578" width="17.125" style="217" bestFit="1" customWidth="1"/>
    <col min="13579" max="13579" width="15.5" style="217" customWidth="1"/>
    <col min="13580" max="13580" width="9" style="217"/>
    <col min="13581" max="13582" width="15.875" style="217" bestFit="1" customWidth="1"/>
    <col min="13583" max="13583" width="9.125" style="217" bestFit="1" customWidth="1"/>
    <col min="13584" max="13584" width="9.375" style="217" bestFit="1" customWidth="1"/>
    <col min="13585" max="13826" width="9" style="217"/>
    <col min="13827" max="13827" width="15.5" style="217" customWidth="1"/>
    <col min="13828" max="13828" width="15.875" style="217" bestFit="1" customWidth="1"/>
    <col min="13829" max="13829" width="15.875" style="217" customWidth="1"/>
    <col min="13830" max="13830" width="15.875" style="217" bestFit="1" customWidth="1"/>
    <col min="13831" max="13831" width="15.125" style="217" customWidth="1"/>
    <col min="13832" max="13832" width="13.75" style="217" customWidth="1"/>
    <col min="13833" max="13833" width="9" style="217"/>
    <col min="13834" max="13834" width="17.125" style="217" bestFit="1" customWidth="1"/>
    <col min="13835" max="13835" width="15.5" style="217" customWidth="1"/>
    <col min="13836" max="13836" width="9" style="217"/>
    <col min="13837" max="13838" width="15.875" style="217" bestFit="1" customWidth="1"/>
    <col min="13839" max="13839" width="9.125" style="217" bestFit="1" customWidth="1"/>
    <col min="13840" max="13840" width="9.375" style="217" bestFit="1" customWidth="1"/>
    <col min="13841" max="14082" width="9" style="217"/>
    <col min="14083" max="14083" width="15.5" style="217" customWidth="1"/>
    <col min="14084" max="14084" width="15.875" style="217" bestFit="1" customWidth="1"/>
    <col min="14085" max="14085" width="15.875" style="217" customWidth="1"/>
    <col min="14086" max="14086" width="15.875" style="217" bestFit="1" customWidth="1"/>
    <col min="14087" max="14087" width="15.125" style="217" customWidth="1"/>
    <col min="14088" max="14088" width="13.75" style="217" customWidth="1"/>
    <col min="14089" max="14089" width="9" style="217"/>
    <col min="14090" max="14090" width="17.125" style="217" bestFit="1" customWidth="1"/>
    <col min="14091" max="14091" width="15.5" style="217" customWidth="1"/>
    <col min="14092" max="14092" width="9" style="217"/>
    <col min="14093" max="14094" width="15.875" style="217" bestFit="1" customWidth="1"/>
    <col min="14095" max="14095" width="9.125" style="217" bestFit="1" customWidth="1"/>
    <col min="14096" max="14096" width="9.375" style="217" bestFit="1" customWidth="1"/>
    <col min="14097" max="14338" width="9" style="217"/>
    <col min="14339" max="14339" width="15.5" style="217" customWidth="1"/>
    <col min="14340" max="14340" width="15.875" style="217" bestFit="1" customWidth="1"/>
    <col min="14341" max="14341" width="15.875" style="217" customWidth="1"/>
    <col min="14342" max="14342" width="15.875" style="217" bestFit="1" customWidth="1"/>
    <col min="14343" max="14343" width="15.125" style="217" customWidth="1"/>
    <col min="14344" max="14344" width="13.75" style="217" customWidth="1"/>
    <col min="14345" max="14345" width="9" style="217"/>
    <col min="14346" max="14346" width="17.125" style="217" bestFit="1" customWidth="1"/>
    <col min="14347" max="14347" width="15.5" style="217" customWidth="1"/>
    <col min="14348" max="14348" width="9" style="217"/>
    <col min="14349" max="14350" width="15.875" style="217" bestFit="1" customWidth="1"/>
    <col min="14351" max="14351" width="9.125" style="217" bestFit="1" customWidth="1"/>
    <col min="14352" max="14352" width="9.375" style="217" bestFit="1" customWidth="1"/>
    <col min="14353" max="14594" width="9" style="217"/>
    <col min="14595" max="14595" width="15.5" style="217" customWidth="1"/>
    <col min="14596" max="14596" width="15.875" style="217" bestFit="1" customWidth="1"/>
    <col min="14597" max="14597" width="15.875" style="217" customWidth="1"/>
    <col min="14598" max="14598" width="15.875" style="217" bestFit="1" customWidth="1"/>
    <col min="14599" max="14599" width="15.125" style="217" customWidth="1"/>
    <col min="14600" max="14600" width="13.75" style="217" customWidth="1"/>
    <col min="14601" max="14601" width="9" style="217"/>
    <col min="14602" max="14602" width="17.125" style="217" bestFit="1" customWidth="1"/>
    <col min="14603" max="14603" width="15.5" style="217" customWidth="1"/>
    <col min="14604" max="14604" width="9" style="217"/>
    <col min="14605" max="14606" width="15.875" style="217" bestFit="1" customWidth="1"/>
    <col min="14607" max="14607" width="9.125" style="217" bestFit="1" customWidth="1"/>
    <col min="14608" max="14608" width="9.375" style="217" bestFit="1" customWidth="1"/>
    <col min="14609" max="14850" width="9" style="217"/>
    <col min="14851" max="14851" width="15.5" style="217" customWidth="1"/>
    <col min="14852" max="14852" width="15.875" style="217" bestFit="1" customWidth="1"/>
    <col min="14853" max="14853" width="15.875" style="217" customWidth="1"/>
    <col min="14854" max="14854" width="15.875" style="217" bestFit="1" customWidth="1"/>
    <col min="14855" max="14855" width="15.125" style="217" customWidth="1"/>
    <col min="14856" max="14856" width="13.75" style="217" customWidth="1"/>
    <col min="14857" max="14857" width="9" style="217"/>
    <col min="14858" max="14858" width="17.125" style="217" bestFit="1" customWidth="1"/>
    <col min="14859" max="14859" width="15.5" style="217" customWidth="1"/>
    <col min="14860" max="14860" width="9" style="217"/>
    <col min="14861" max="14862" width="15.875" style="217" bestFit="1" customWidth="1"/>
    <col min="14863" max="14863" width="9.125" style="217" bestFit="1" customWidth="1"/>
    <col min="14864" max="14864" width="9.375" style="217" bestFit="1" customWidth="1"/>
    <col min="14865" max="15106" width="9" style="217"/>
    <col min="15107" max="15107" width="15.5" style="217" customWidth="1"/>
    <col min="15108" max="15108" width="15.875" style="217" bestFit="1" customWidth="1"/>
    <col min="15109" max="15109" width="15.875" style="217" customWidth="1"/>
    <col min="15110" max="15110" width="15.875" style="217" bestFit="1" customWidth="1"/>
    <col min="15111" max="15111" width="15.125" style="217" customWidth="1"/>
    <col min="15112" max="15112" width="13.75" style="217" customWidth="1"/>
    <col min="15113" max="15113" width="9" style="217"/>
    <col min="15114" max="15114" width="17.125" style="217" bestFit="1" customWidth="1"/>
    <col min="15115" max="15115" width="15.5" style="217" customWidth="1"/>
    <col min="15116" max="15116" width="9" style="217"/>
    <col min="15117" max="15118" width="15.875" style="217" bestFit="1" customWidth="1"/>
    <col min="15119" max="15119" width="9.125" style="217" bestFit="1" customWidth="1"/>
    <col min="15120" max="15120" width="9.375" style="217" bestFit="1" customWidth="1"/>
    <col min="15121" max="15362" width="9" style="217"/>
    <col min="15363" max="15363" width="15.5" style="217" customWidth="1"/>
    <col min="15364" max="15364" width="15.875" style="217" bestFit="1" customWidth="1"/>
    <col min="15365" max="15365" width="15.875" style="217" customWidth="1"/>
    <col min="15366" max="15366" width="15.875" style="217" bestFit="1" customWidth="1"/>
    <col min="15367" max="15367" width="15.125" style="217" customWidth="1"/>
    <col min="15368" max="15368" width="13.75" style="217" customWidth="1"/>
    <col min="15369" max="15369" width="9" style="217"/>
    <col min="15370" max="15370" width="17.125" style="217" bestFit="1" customWidth="1"/>
    <col min="15371" max="15371" width="15.5" style="217" customWidth="1"/>
    <col min="15372" max="15372" width="9" style="217"/>
    <col min="15373" max="15374" width="15.875" style="217" bestFit="1" customWidth="1"/>
    <col min="15375" max="15375" width="9.125" style="217" bestFit="1" customWidth="1"/>
    <col min="15376" max="15376" width="9.375" style="217" bestFit="1" customWidth="1"/>
    <col min="15377" max="15618" width="9" style="217"/>
    <col min="15619" max="15619" width="15.5" style="217" customWidth="1"/>
    <col min="15620" max="15620" width="15.875" style="217" bestFit="1" customWidth="1"/>
    <col min="15621" max="15621" width="15.875" style="217" customWidth="1"/>
    <col min="15622" max="15622" width="15.875" style="217" bestFit="1" customWidth="1"/>
    <col min="15623" max="15623" width="15.125" style="217" customWidth="1"/>
    <col min="15624" max="15624" width="13.75" style="217" customWidth="1"/>
    <col min="15625" max="15625" width="9" style="217"/>
    <col min="15626" max="15626" width="17.125" style="217" bestFit="1" customWidth="1"/>
    <col min="15627" max="15627" width="15.5" style="217" customWidth="1"/>
    <col min="15628" max="15628" width="9" style="217"/>
    <col min="15629" max="15630" width="15.875" style="217" bestFit="1" customWidth="1"/>
    <col min="15631" max="15631" width="9.125" style="217" bestFit="1" customWidth="1"/>
    <col min="15632" max="15632" width="9.375" style="217" bestFit="1" customWidth="1"/>
    <col min="15633" max="15874" width="9" style="217"/>
    <col min="15875" max="15875" width="15.5" style="217" customWidth="1"/>
    <col min="15876" max="15876" width="15.875" style="217" bestFit="1" customWidth="1"/>
    <col min="15877" max="15877" width="15.875" style="217" customWidth="1"/>
    <col min="15878" max="15878" width="15.875" style="217" bestFit="1" customWidth="1"/>
    <col min="15879" max="15879" width="15.125" style="217" customWidth="1"/>
    <col min="15880" max="15880" width="13.75" style="217" customWidth="1"/>
    <col min="15881" max="15881" width="9" style="217"/>
    <col min="15882" max="15882" width="17.125" style="217" bestFit="1" customWidth="1"/>
    <col min="15883" max="15883" width="15.5" style="217" customWidth="1"/>
    <col min="15884" max="15884" width="9" style="217"/>
    <col min="15885" max="15886" width="15.875" style="217" bestFit="1" customWidth="1"/>
    <col min="15887" max="15887" width="9.125" style="217" bestFit="1" customWidth="1"/>
    <col min="15888" max="15888" width="9.375" style="217" bestFit="1" customWidth="1"/>
    <col min="15889" max="16130" width="9" style="217"/>
    <col min="16131" max="16131" width="15.5" style="217" customWidth="1"/>
    <col min="16132" max="16132" width="15.875" style="217" bestFit="1" customWidth="1"/>
    <col min="16133" max="16133" width="15.875" style="217" customWidth="1"/>
    <col min="16134" max="16134" width="15.875" style="217" bestFit="1" customWidth="1"/>
    <col min="16135" max="16135" width="15.125" style="217" customWidth="1"/>
    <col min="16136" max="16136" width="13.75" style="217" customWidth="1"/>
    <col min="16137" max="16137" width="9" style="217"/>
    <col min="16138" max="16138" width="17.125" style="217" bestFit="1" customWidth="1"/>
    <col min="16139" max="16139" width="15.5" style="217" customWidth="1"/>
    <col min="16140" max="16140" width="9" style="217"/>
    <col min="16141" max="16142" width="15.875" style="217" bestFit="1" customWidth="1"/>
    <col min="16143" max="16143" width="9.125" style="217" bestFit="1" customWidth="1"/>
    <col min="16144" max="16144" width="9.375" style="217" bestFit="1" customWidth="1"/>
    <col min="16145" max="16384" width="9" style="217"/>
  </cols>
  <sheetData>
    <row r="2" spans="2:13">
      <c r="C2" s="269" t="s">
        <v>241</v>
      </c>
    </row>
    <row r="3" spans="2:13">
      <c r="B3" s="196"/>
      <c r="C3" s="196" t="s">
        <v>595</v>
      </c>
      <c r="D3" s="196" t="s">
        <v>596</v>
      </c>
      <c r="E3" s="196" t="s">
        <v>594</v>
      </c>
      <c r="F3" s="196" t="s">
        <v>598</v>
      </c>
      <c r="G3" s="196" t="s">
        <v>597</v>
      </c>
      <c r="I3" s="196"/>
      <c r="J3" s="196"/>
      <c r="K3" s="196"/>
      <c r="L3" s="196"/>
      <c r="M3" s="196"/>
    </row>
    <row r="4" spans="2:13">
      <c r="B4" s="196" t="s">
        <v>152</v>
      </c>
      <c r="C4" s="196">
        <v>5.6231687397017703E-9</v>
      </c>
      <c r="D4" s="196">
        <v>1.0968818264518601</v>
      </c>
      <c r="E4" s="196">
        <v>-1.5740768923686901E-6</v>
      </c>
      <c r="F4" s="196">
        <v>-1.115215453639155E-8</v>
      </c>
      <c r="G4" s="196">
        <v>2.7366883102613162E-6</v>
      </c>
    </row>
    <row r="5" spans="2:13">
      <c r="B5" s="196" t="s">
        <v>29</v>
      </c>
      <c r="C5" s="196">
        <v>-6.8430471092030796E-6</v>
      </c>
      <c r="D5" s="196">
        <v>28.364491609474101</v>
      </c>
      <c r="E5" s="196">
        <v>1.2473616721143199E-3</v>
      </c>
      <c r="F5" s="196">
        <v>-4.1294483136519757E-6</v>
      </c>
      <c r="G5" s="196">
        <v>-9.4613757242850683E-4</v>
      </c>
    </row>
    <row r="6" spans="2:13">
      <c r="B6" s="196" t="s">
        <v>30</v>
      </c>
      <c r="C6" s="196">
        <v>6.7343756711103903E-3</v>
      </c>
      <c r="D6" s="196">
        <v>145.51790587821401</v>
      </c>
      <c r="E6" s="196">
        <v>0.82991781220878702</v>
      </c>
      <c r="F6" s="196">
        <v>-1.3906686657642209E-3</v>
      </c>
      <c r="G6" s="196">
        <v>1.0219430090961608</v>
      </c>
    </row>
    <row r="7" spans="2:13">
      <c r="B7" s="196" t="s">
        <v>153</v>
      </c>
      <c r="C7" s="196">
        <v>9.1590531069136397E-4</v>
      </c>
      <c r="D7" s="196">
        <v>0.151560797680589</v>
      </c>
      <c r="E7" s="196"/>
      <c r="F7" s="196">
        <v>1.0375218742414281</v>
      </c>
      <c r="G7" s="196"/>
    </row>
    <row r="8" spans="2:13">
      <c r="E8" s="218"/>
    </row>
    <row r="9" spans="2:13">
      <c r="C9" s="196" t="s">
        <v>154</v>
      </c>
      <c r="D9" s="219">
        <v>64.871425145451838</v>
      </c>
      <c r="E9" s="220"/>
    </row>
    <row r="10" spans="2:13">
      <c r="C10" s="196" t="s">
        <v>155</v>
      </c>
      <c r="D10" s="197">
        <v>175</v>
      </c>
      <c r="E10" s="221"/>
    </row>
    <row r="11" spans="2:13">
      <c r="C11" s="196" t="s">
        <v>156</v>
      </c>
      <c r="D11" s="196">
        <f>D10*D12</f>
        <v>175</v>
      </c>
      <c r="E11" s="221"/>
    </row>
    <row r="12" spans="2:13">
      <c r="C12" s="217" t="s">
        <v>149</v>
      </c>
      <c r="D12" s="196">
        <v>1</v>
      </c>
      <c r="E12" s="196"/>
    </row>
    <row r="13" spans="2:13">
      <c r="C13" s="196" t="s">
        <v>157</v>
      </c>
      <c r="D13" s="223">
        <f>ROUND(E13,-INT(LOG10(E13))+3)</f>
        <v>21.3</v>
      </c>
      <c r="E13" s="683">
        <f>($E$4*$D$10^2+$E$5*$D$10+$E$6)*($G$4*$D$9^2+$G$5*$D$9+$G$6)*Tcスペック算出!J11</f>
        <v>21.300000969470972</v>
      </c>
    </row>
    <row r="14" spans="2:13">
      <c r="C14" s="196" t="s">
        <v>158</v>
      </c>
      <c r="D14" s="223">
        <f>熱抵抗!K6</f>
        <v>5.4</v>
      </c>
      <c r="E14" s="222"/>
    </row>
    <row r="15" spans="2:13">
      <c r="C15" s="196" t="s">
        <v>159</v>
      </c>
      <c r="D15" s="223">
        <f>D9+(D11*D13/1000)*D14</f>
        <v>84.99992514545184</v>
      </c>
      <c r="E15" s="223"/>
    </row>
    <row r="16" spans="2:13">
      <c r="C16" s="195" t="s">
        <v>157</v>
      </c>
      <c r="D16" s="195" t="s">
        <v>160</v>
      </c>
      <c r="E16" s="224"/>
    </row>
    <row r="17" spans="3:5">
      <c r="C17" s="225">
        <f>($E$4*$D$10^2+$E$5*$D$10+$E$6)*($G$4*$D$9^2+$G$5*$D$9+$G$6)</f>
        <v>0.9720825267322788</v>
      </c>
      <c r="D17" s="225">
        <f>($C$4*$D$10^3+$C$5*$D$10^2+$C$6*$D$10+$C$7)*($F$4*$D$9^3+$F$5*$D$9^2+$F$6*$D$9+$F$7)</f>
        <v>0.92688472936203381</v>
      </c>
      <c r="E17" s="226"/>
    </row>
  </sheetData>
  <sheetProtection password="A7EA" sheet="1" objects="1" scenarios="1"/>
  <phoneticPr fontId="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2:N23"/>
  <sheetViews>
    <sheetView zoomScale="75" zoomScaleNormal="75" workbookViewId="0">
      <selection activeCell="J11" sqref="J11"/>
    </sheetView>
  </sheetViews>
  <sheetFormatPr defaultRowHeight="15.75"/>
  <cols>
    <col min="1" max="4" width="9" style="217"/>
    <col min="5" max="15" width="15.875" style="217" customWidth="1"/>
    <col min="16" max="16" width="9.125" style="217" bestFit="1" customWidth="1"/>
    <col min="17" max="17" width="9.375" style="217" bestFit="1" customWidth="1"/>
    <col min="18" max="260" width="9" style="217"/>
    <col min="261" max="261" width="15.5" style="217" customWidth="1"/>
    <col min="262" max="263" width="15.875" style="217" bestFit="1" customWidth="1"/>
    <col min="264" max="264" width="15.125" style="217" customWidth="1"/>
    <col min="265" max="265" width="13.75" style="217" customWidth="1"/>
    <col min="266" max="266" width="9" style="217"/>
    <col min="267" max="267" width="17.125" style="217" bestFit="1" customWidth="1"/>
    <col min="268" max="268" width="15.5" style="217" customWidth="1"/>
    <col min="269" max="269" width="9" style="217"/>
    <col min="270" max="271" width="15.875" style="217" bestFit="1" customWidth="1"/>
    <col min="272" max="272" width="9.125" style="217" bestFit="1" customWidth="1"/>
    <col min="273" max="273" width="9.375" style="217" bestFit="1" customWidth="1"/>
    <col min="274" max="516" width="9" style="217"/>
    <col min="517" max="517" width="15.5" style="217" customWidth="1"/>
    <col min="518" max="519" width="15.875" style="217" bestFit="1" customWidth="1"/>
    <col min="520" max="520" width="15.125" style="217" customWidth="1"/>
    <col min="521" max="521" width="13.75" style="217" customWidth="1"/>
    <col min="522" max="522" width="9" style="217"/>
    <col min="523" max="523" width="17.125" style="217" bestFit="1" customWidth="1"/>
    <col min="524" max="524" width="15.5" style="217" customWidth="1"/>
    <col min="525" max="525" width="9" style="217"/>
    <col min="526" max="527" width="15.875" style="217" bestFit="1" customWidth="1"/>
    <col min="528" max="528" width="9.125" style="217" bestFit="1" customWidth="1"/>
    <col min="529" max="529" width="9.375" style="217" bestFit="1" customWidth="1"/>
    <col min="530" max="772" width="9" style="217"/>
    <col min="773" max="773" width="15.5" style="217" customWidth="1"/>
    <col min="774" max="775" width="15.875" style="217" bestFit="1" customWidth="1"/>
    <col min="776" max="776" width="15.125" style="217" customWidth="1"/>
    <col min="777" max="777" width="13.75" style="217" customWidth="1"/>
    <col min="778" max="778" width="9" style="217"/>
    <col min="779" max="779" width="17.125" style="217" bestFit="1" customWidth="1"/>
    <col min="780" max="780" width="15.5" style="217" customWidth="1"/>
    <col min="781" max="781" width="9" style="217"/>
    <col min="782" max="783" width="15.875" style="217" bestFit="1" customWidth="1"/>
    <col min="784" max="784" width="9.125" style="217" bestFit="1" customWidth="1"/>
    <col min="785" max="785" width="9.375" style="217" bestFit="1" customWidth="1"/>
    <col min="786" max="1028" width="9" style="217"/>
    <col min="1029" max="1029" width="15.5" style="217" customWidth="1"/>
    <col min="1030" max="1031" width="15.875" style="217" bestFit="1" customWidth="1"/>
    <col min="1032" max="1032" width="15.125" style="217" customWidth="1"/>
    <col min="1033" max="1033" width="13.75" style="217" customWidth="1"/>
    <col min="1034" max="1034" width="9" style="217"/>
    <col min="1035" max="1035" width="17.125" style="217" bestFit="1" customWidth="1"/>
    <col min="1036" max="1036" width="15.5" style="217" customWidth="1"/>
    <col min="1037" max="1037" width="9" style="217"/>
    <col min="1038" max="1039" width="15.875" style="217" bestFit="1" customWidth="1"/>
    <col min="1040" max="1040" width="9.125" style="217" bestFit="1" customWidth="1"/>
    <col min="1041" max="1041" width="9.375" style="217" bestFit="1" customWidth="1"/>
    <col min="1042" max="1284" width="9" style="217"/>
    <col min="1285" max="1285" width="15.5" style="217" customWidth="1"/>
    <col min="1286" max="1287" width="15.875" style="217" bestFit="1" customWidth="1"/>
    <col min="1288" max="1288" width="15.125" style="217" customWidth="1"/>
    <col min="1289" max="1289" width="13.75" style="217" customWidth="1"/>
    <col min="1290" max="1290" width="9" style="217"/>
    <col min="1291" max="1291" width="17.125" style="217" bestFit="1" customWidth="1"/>
    <col min="1292" max="1292" width="15.5" style="217" customWidth="1"/>
    <col min="1293" max="1293" width="9" style="217"/>
    <col min="1294" max="1295" width="15.875" style="217" bestFit="1" customWidth="1"/>
    <col min="1296" max="1296" width="9.125" style="217" bestFit="1" customWidth="1"/>
    <col min="1297" max="1297" width="9.375" style="217" bestFit="1" customWidth="1"/>
    <col min="1298" max="1540" width="9" style="217"/>
    <col min="1541" max="1541" width="15.5" style="217" customWidth="1"/>
    <col min="1542" max="1543" width="15.875" style="217" bestFit="1" customWidth="1"/>
    <col min="1544" max="1544" width="15.125" style="217" customWidth="1"/>
    <col min="1545" max="1545" width="13.75" style="217" customWidth="1"/>
    <col min="1546" max="1546" width="9" style="217"/>
    <col min="1547" max="1547" width="17.125" style="217" bestFit="1" customWidth="1"/>
    <col min="1548" max="1548" width="15.5" style="217" customWidth="1"/>
    <col min="1549" max="1549" width="9" style="217"/>
    <col min="1550" max="1551" width="15.875" style="217" bestFit="1" customWidth="1"/>
    <col min="1552" max="1552" width="9.125" style="217" bestFit="1" customWidth="1"/>
    <col min="1553" max="1553" width="9.375" style="217" bestFit="1" customWidth="1"/>
    <col min="1554" max="1796" width="9" style="217"/>
    <col min="1797" max="1797" width="15.5" style="217" customWidth="1"/>
    <col min="1798" max="1799" width="15.875" style="217" bestFit="1" customWidth="1"/>
    <col min="1800" max="1800" width="15.125" style="217" customWidth="1"/>
    <col min="1801" max="1801" width="13.75" style="217" customWidth="1"/>
    <col min="1802" max="1802" width="9" style="217"/>
    <col min="1803" max="1803" width="17.125" style="217" bestFit="1" customWidth="1"/>
    <col min="1804" max="1804" width="15.5" style="217" customWidth="1"/>
    <col min="1805" max="1805" width="9" style="217"/>
    <col min="1806" max="1807" width="15.875" style="217" bestFit="1" customWidth="1"/>
    <col min="1808" max="1808" width="9.125" style="217" bestFit="1" customWidth="1"/>
    <col min="1809" max="1809" width="9.375" style="217" bestFit="1" customWidth="1"/>
    <col min="1810" max="2052" width="9" style="217"/>
    <col min="2053" max="2053" width="15.5" style="217" customWidth="1"/>
    <col min="2054" max="2055" width="15.875" style="217" bestFit="1" customWidth="1"/>
    <col min="2056" max="2056" width="15.125" style="217" customWidth="1"/>
    <col min="2057" max="2057" width="13.75" style="217" customWidth="1"/>
    <col min="2058" max="2058" width="9" style="217"/>
    <col min="2059" max="2059" width="17.125" style="217" bestFit="1" customWidth="1"/>
    <col min="2060" max="2060" width="15.5" style="217" customWidth="1"/>
    <col min="2061" max="2061" width="9" style="217"/>
    <col min="2062" max="2063" width="15.875" style="217" bestFit="1" customWidth="1"/>
    <col min="2064" max="2064" width="9.125" style="217" bestFit="1" customWidth="1"/>
    <col min="2065" max="2065" width="9.375" style="217" bestFit="1" customWidth="1"/>
    <col min="2066" max="2308" width="9" style="217"/>
    <col min="2309" max="2309" width="15.5" style="217" customWidth="1"/>
    <col min="2310" max="2311" width="15.875" style="217" bestFit="1" customWidth="1"/>
    <col min="2312" max="2312" width="15.125" style="217" customWidth="1"/>
    <col min="2313" max="2313" width="13.75" style="217" customWidth="1"/>
    <col min="2314" max="2314" width="9" style="217"/>
    <col min="2315" max="2315" width="17.125" style="217" bestFit="1" customWidth="1"/>
    <col min="2316" max="2316" width="15.5" style="217" customWidth="1"/>
    <col min="2317" max="2317" width="9" style="217"/>
    <col min="2318" max="2319" width="15.875" style="217" bestFit="1" customWidth="1"/>
    <col min="2320" max="2320" width="9.125" style="217" bestFit="1" customWidth="1"/>
    <col min="2321" max="2321" width="9.375" style="217" bestFit="1" customWidth="1"/>
    <col min="2322" max="2564" width="9" style="217"/>
    <col min="2565" max="2565" width="15.5" style="217" customWidth="1"/>
    <col min="2566" max="2567" width="15.875" style="217" bestFit="1" customWidth="1"/>
    <col min="2568" max="2568" width="15.125" style="217" customWidth="1"/>
    <col min="2569" max="2569" width="13.75" style="217" customWidth="1"/>
    <col min="2570" max="2570" width="9" style="217"/>
    <col min="2571" max="2571" width="17.125" style="217" bestFit="1" customWidth="1"/>
    <col min="2572" max="2572" width="15.5" style="217" customWidth="1"/>
    <col min="2573" max="2573" width="9" style="217"/>
    <col min="2574" max="2575" width="15.875" style="217" bestFit="1" customWidth="1"/>
    <col min="2576" max="2576" width="9.125" style="217" bestFit="1" customWidth="1"/>
    <col min="2577" max="2577" width="9.375" style="217" bestFit="1" customWidth="1"/>
    <col min="2578" max="2820" width="9" style="217"/>
    <col min="2821" max="2821" width="15.5" style="217" customWidth="1"/>
    <col min="2822" max="2823" width="15.875" style="217" bestFit="1" customWidth="1"/>
    <col min="2824" max="2824" width="15.125" style="217" customWidth="1"/>
    <col min="2825" max="2825" width="13.75" style="217" customWidth="1"/>
    <col min="2826" max="2826" width="9" style="217"/>
    <col min="2827" max="2827" width="17.125" style="217" bestFit="1" customWidth="1"/>
    <col min="2828" max="2828" width="15.5" style="217" customWidth="1"/>
    <col min="2829" max="2829" width="9" style="217"/>
    <col min="2830" max="2831" width="15.875" style="217" bestFit="1" customWidth="1"/>
    <col min="2832" max="2832" width="9.125" style="217" bestFit="1" customWidth="1"/>
    <col min="2833" max="2833" width="9.375" style="217" bestFit="1" customWidth="1"/>
    <col min="2834" max="3076" width="9" style="217"/>
    <col min="3077" max="3077" width="15.5" style="217" customWidth="1"/>
    <col min="3078" max="3079" width="15.875" style="217" bestFit="1" customWidth="1"/>
    <col min="3080" max="3080" width="15.125" style="217" customWidth="1"/>
    <col min="3081" max="3081" width="13.75" style="217" customWidth="1"/>
    <col min="3082" max="3082" width="9" style="217"/>
    <col min="3083" max="3083" width="17.125" style="217" bestFit="1" customWidth="1"/>
    <col min="3084" max="3084" width="15.5" style="217" customWidth="1"/>
    <col min="3085" max="3085" width="9" style="217"/>
    <col min="3086" max="3087" width="15.875" style="217" bestFit="1" customWidth="1"/>
    <col min="3088" max="3088" width="9.125" style="217" bestFit="1" customWidth="1"/>
    <col min="3089" max="3089" width="9.375" style="217" bestFit="1" customWidth="1"/>
    <col min="3090" max="3332" width="9" style="217"/>
    <col min="3333" max="3333" width="15.5" style="217" customWidth="1"/>
    <col min="3334" max="3335" width="15.875" style="217" bestFit="1" customWidth="1"/>
    <col min="3336" max="3336" width="15.125" style="217" customWidth="1"/>
    <col min="3337" max="3337" width="13.75" style="217" customWidth="1"/>
    <col min="3338" max="3338" width="9" style="217"/>
    <col min="3339" max="3339" width="17.125" style="217" bestFit="1" customWidth="1"/>
    <col min="3340" max="3340" width="15.5" style="217" customWidth="1"/>
    <col min="3341" max="3341" width="9" style="217"/>
    <col min="3342" max="3343" width="15.875" style="217" bestFit="1" customWidth="1"/>
    <col min="3344" max="3344" width="9.125" style="217" bestFit="1" customWidth="1"/>
    <col min="3345" max="3345" width="9.375" style="217" bestFit="1" customWidth="1"/>
    <col min="3346" max="3588" width="9" style="217"/>
    <col min="3589" max="3589" width="15.5" style="217" customWidth="1"/>
    <col min="3590" max="3591" width="15.875" style="217" bestFit="1" customWidth="1"/>
    <col min="3592" max="3592" width="15.125" style="217" customWidth="1"/>
    <col min="3593" max="3593" width="13.75" style="217" customWidth="1"/>
    <col min="3594" max="3594" width="9" style="217"/>
    <col min="3595" max="3595" width="17.125" style="217" bestFit="1" customWidth="1"/>
    <col min="3596" max="3596" width="15.5" style="217" customWidth="1"/>
    <col min="3597" max="3597" width="9" style="217"/>
    <col min="3598" max="3599" width="15.875" style="217" bestFit="1" customWidth="1"/>
    <col min="3600" max="3600" width="9.125" style="217" bestFit="1" customWidth="1"/>
    <col min="3601" max="3601" width="9.375" style="217" bestFit="1" customWidth="1"/>
    <col min="3602" max="3844" width="9" style="217"/>
    <col min="3845" max="3845" width="15.5" style="217" customWidth="1"/>
    <col min="3846" max="3847" width="15.875" style="217" bestFit="1" customWidth="1"/>
    <col min="3848" max="3848" width="15.125" style="217" customWidth="1"/>
    <col min="3849" max="3849" width="13.75" style="217" customWidth="1"/>
    <col min="3850" max="3850" width="9" style="217"/>
    <col min="3851" max="3851" width="17.125" style="217" bestFit="1" customWidth="1"/>
    <col min="3852" max="3852" width="15.5" style="217" customWidth="1"/>
    <col min="3853" max="3853" width="9" style="217"/>
    <col min="3854" max="3855" width="15.875" style="217" bestFit="1" customWidth="1"/>
    <col min="3856" max="3856" width="9.125" style="217" bestFit="1" customWidth="1"/>
    <col min="3857" max="3857" width="9.375" style="217" bestFit="1" customWidth="1"/>
    <col min="3858" max="4100" width="9" style="217"/>
    <col min="4101" max="4101" width="15.5" style="217" customWidth="1"/>
    <col min="4102" max="4103" width="15.875" style="217" bestFit="1" customWidth="1"/>
    <col min="4104" max="4104" width="15.125" style="217" customWidth="1"/>
    <col min="4105" max="4105" width="13.75" style="217" customWidth="1"/>
    <col min="4106" max="4106" width="9" style="217"/>
    <col min="4107" max="4107" width="17.125" style="217" bestFit="1" customWidth="1"/>
    <col min="4108" max="4108" width="15.5" style="217" customWidth="1"/>
    <col min="4109" max="4109" width="9" style="217"/>
    <col min="4110" max="4111" width="15.875" style="217" bestFit="1" customWidth="1"/>
    <col min="4112" max="4112" width="9.125" style="217" bestFit="1" customWidth="1"/>
    <col min="4113" max="4113" width="9.375" style="217" bestFit="1" customWidth="1"/>
    <col min="4114" max="4356" width="9" style="217"/>
    <col min="4357" max="4357" width="15.5" style="217" customWidth="1"/>
    <col min="4358" max="4359" width="15.875" style="217" bestFit="1" customWidth="1"/>
    <col min="4360" max="4360" width="15.125" style="217" customWidth="1"/>
    <col min="4361" max="4361" width="13.75" style="217" customWidth="1"/>
    <col min="4362" max="4362" width="9" style="217"/>
    <col min="4363" max="4363" width="17.125" style="217" bestFit="1" customWidth="1"/>
    <col min="4364" max="4364" width="15.5" style="217" customWidth="1"/>
    <col min="4365" max="4365" width="9" style="217"/>
    <col min="4366" max="4367" width="15.875" style="217" bestFit="1" customWidth="1"/>
    <col min="4368" max="4368" width="9.125" style="217" bestFit="1" customWidth="1"/>
    <col min="4369" max="4369" width="9.375" style="217" bestFit="1" customWidth="1"/>
    <col min="4370" max="4612" width="9" style="217"/>
    <col min="4613" max="4613" width="15.5" style="217" customWidth="1"/>
    <col min="4614" max="4615" width="15.875" style="217" bestFit="1" customWidth="1"/>
    <col min="4616" max="4616" width="15.125" style="217" customWidth="1"/>
    <col min="4617" max="4617" width="13.75" style="217" customWidth="1"/>
    <col min="4618" max="4618" width="9" style="217"/>
    <col min="4619" max="4619" width="17.125" style="217" bestFit="1" customWidth="1"/>
    <col min="4620" max="4620" width="15.5" style="217" customWidth="1"/>
    <col min="4621" max="4621" width="9" style="217"/>
    <col min="4622" max="4623" width="15.875" style="217" bestFit="1" customWidth="1"/>
    <col min="4624" max="4624" width="9.125" style="217" bestFit="1" customWidth="1"/>
    <col min="4625" max="4625" width="9.375" style="217" bestFit="1" customWidth="1"/>
    <col min="4626" max="4868" width="9" style="217"/>
    <col min="4869" max="4869" width="15.5" style="217" customWidth="1"/>
    <col min="4870" max="4871" width="15.875" style="217" bestFit="1" customWidth="1"/>
    <col min="4872" max="4872" width="15.125" style="217" customWidth="1"/>
    <col min="4873" max="4873" width="13.75" style="217" customWidth="1"/>
    <col min="4874" max="4874" width="9" style="217"/>
    <col min="4875" max="4875" width="17.125" style="217" bestFit="1" customWidth="1"/>
    <col min="4876" max="4876" width="15.5" style="217" customWidth="1"/>
    <col min="4877" max="4877" width="9" style="217"/>
    <col min="4878" max="4879" width="15.875" style="217" bestFit="1" customWidth="1"/>
    <col min="4880" max="4880" width="9.125" style="217" bestFit="1" customWidth="1"/>
    <col min="4881" max="4881" width="9.375" style="217" bestFit="1" customWidth="1"/>
    <col min="4882" max="5124" width="9" style="217"/>
    <col min="5125" max="5125" width="15.5" style="217" customWidth="1"/>
    <col min="5126" max="5127" width="15.875" style="217" bestFit="1" customWidth="1"/>
    <col min="5128" max="5128" width="15.125" style="217" customWidth="1"/>
    <col min="5129" max="5129" width="13.75" style="217" customWidth="1"/>
    <col min="5130" max="5130" width="9" style="217"/>
    <col min="5131" max="5131" width="17.125" style="217" bestFit="1" customWidth="1"/>
    <col min="5132" max="5132" width="15.5" style="217" customWidth="1"/>
    <col min="5133" max="5133" width="9" style="217"/>
    <col min="5134" max="5135" width="15.875" style="217" bestFit="1" customWidth="1"/>
    <col min="5136" max="5136" width="9.125" style="217" bestFit="1" customWidth="1"/>
    <col min="5137" max="5137" width="9.375" style="217" bestFit="1" customWidth="1"/>
    <col min="5138" max="5380" width="9" style="217"/>
    <col min="5381" max="5381" width="15.5" style="217" customWidth="1"/>
    <col min="5382" max="5383" width="15.875" style="217" bestFit="1" customWidth="1"/>
    <col min="5384" max="5384" width="15.125" style="217" customWidth="1"/>
    <col min="5385" max="5385" width="13.75" style="217" customWidth="1"/>
    <col min="5386" max="5386" width="9" style="217"/>
    <col min="5387" max="5387" width="17.125" style="217" bestFit="1" customWidth="1"/>
    <col min="5388" max="5388" width="15.5" style="217" customWidth="1"/>
    <col min="5389" max="5389" width="9" style="217"/>
    <col min="5390" max="5391" width="15.875" style="217" bestFit="1" customWidth="1"/>
    <col min="5392" max="5392" width="9.125" style="217" bestFit="1" customWidth="1"/>
    <col min="5393" max="5393" width="9.375" style="217" bestFit="1" customWidth="1"/>
    <col min="5394" max="5636" width="9" style="217"/>
    <col min="5637" max="5637" width="15.5" style="217" customWidth="1"/>
    <col min="5638" max="5639" width="15.875" style="217" bestFit="1" customWidth="1"/>
    <col min="5640" max="5640" width="15.125" style="217" customWidth="1"/>
    <col min="5641" max="5641" width="13.75" style="217" customWidth="1"/>
    <col min="5642" max="5642" width="9" style="217"/>
    <col min="5643" max="5643" width="17.125" style="217" bestFit="1" customWidth="1"/>
    <col min="5644" max="5644" width="15.5" style="217" customWidth="1"/>
    <col min="5645" max="5645" width="9" style="217"/>
    <col min="5646" max="5647" width="15.875" style="217" bestFit="1" customWidth="1"/>
    <col min="5648" max="5648" width="9.125" style="217" bestFit="1" customWidth="1"/>
    <col min="5649" max="5649" width="9.375" style="217" bestFit="1" customWidth="1"/>
    <col min="5650" max="5892" width="9" style="217"/>
    <col min="5893" max="5893" width="15.5" style="217" customWidth="1"/>
    <col min="5894" max="5895" width="15.875" style="217" bestFit="1" customWidth="1"/>
    <col min="5896" max="5896" width="15.125" style="217" customWidth="1"/>
    <col min="5897" max="5897" width="13.75" style="217" customWidth="1"/>
    <col min="5898" max="5898" width="9" style="217"/>
    <col min="5899" max="5899" width="17.125" style="217" bestFit="1" customWidth="1"/>
    <col min="5900" max="5900" width="15.5" style="217" customWidth="1"/>
    <col min="5901" max="5901" width="9" style="217"/>
    <col min="5902" max="5903" width="15.875" style="217" bestFit="1" customWidth="1"/>
    <col min="5904" max="5904" width="9.125" style="217" bestFit="1" customWidth="1"/>
    <col min="5905" max="5905" width="9.375" style="217" bestFit="1" customWidth="1"/>
    <col min="5906" max="6148" width="9" style="217"/>
    <col min="6149" max="6149" width="15.5" style="217" customWidth="1"/>
    <col min="6150" max="6151" width="15.875" style="217" bestFit="1" customWidth="1"/>
    <col min="6152" max="6152" width="15.125" style="217" customWidth="1"/>
    <col min="6153" max="6153" width="13.75" style="217" customWidth="1"/>
    <col min="6154" max="6154" width="9" style="217"/>
    <col min="6155" max="6155" width="17.125" style="217" bestFit="1" customWidth="1"/>
    <col min="6156" max="6156" width="15.5" style="217" customWidth="1"/>
    <col min="6157" max="6157" width="9" style="217"/>
    <col min="6158" max="6159" width="15.875" style="217" bestFit="1" customWidth="1"/>
    <col min="6160" max="6160" width="9.125" style="217" bestFit="1" customWidth="1"/>
    <col min="6161" max="6161" width="9.375" style="217" bestFit="1" customWidth="1"/>
    <col min="6162" max="6404" width="9" style="217"/>
    <col min="6405" max="6405" width="15.5" style="217" customWidth="1"/>
    <col min="6406" max="6407" width="15.875" style="217" bestFit="1" customWidth="1"/>
    <col min="6408" max="6408" width="15.125" style="217" customWidth="1"/>
    <col min="6409" max="6409" width="13.75" style="217" customWidth="1"/>
    <col min="6410" max="6410" width="9" style="217"/>
    <col min="6411" max="6411" width="17.125" style="217" bestFit="1" customWidth="1"/>
    <col min="6412" max="6412" width="15.5" style="217" customWidth="1"/>
    <col min="6413" max="6413" width="9" style="217"/>
    <col min="6414" max="6415" width="15.875" style="217" bestFit="1" customWidth="1"/>
    <col min="6416" max="6416" width="9.125" style="217" bestFit="1" customWidth="1"/>
    <col min="6417" max="6417" width="9.375" style="217" bestFit="1" customWidth="1"/>
    <col min="6418" max="6660" width="9" style="217"/>
    <col min="6661" max="6661" width="15.5" style="217" customWidth="1"/>
    <col min="6662" max="6663" width="15.875" style="217" bestFit="1" customWidth="1"/>
    <col min="6664" max="6664" width="15.125" style="217" customWidth="1"/>
    <col min="6665" max="6665" width="13.75" style="217" customWidth="1"/>
    <col min="6666" max="6666" width="9" style="217"/>
    <col min="6667" max="6667" width="17.125" style="217" bestFit="1" customWidth="1"/>
    <col min="6668" max="6668" width="15.5" style="217" customWidth="1"/>
    <col min="6669" max="6669" width="9" style="217"/>
    <col min="6670" max="6671" width="15.875" style="217" bestFit="1" customWidth="1"/>
    <col min="6672" max="6672" width="9.125" style="217" bestFit="1" customWidth="1"/>
    <col min="6673" max="6673" width="9.375" style="217" bestFit="1" customWidth="1"/>
    <col min="6674" max="6916" width="9" style="217"/>
    <col min="6917" max="6917" width="15.5" style="217" customWidth="1"/>
    <col min="6918" max="6919" width="15.875" style="217" bestFit="1" customWidth="1"/>
    <col min="6920" max="6920" width="15.125" style="217" customWidth="1"/>
    <col min="6921" max="6921" width="13.75" style="217" customWidth="1"/>
    <col min="6922" max="6922" width="9" style="217"/>
    <col min="6923" max="6923" width="17.125" style="217" bestFit="1" customWidth="1"/>
    <col min="6924" max="6924" width="15.5" style="217" customWidth="1"/>
    <col min="6925" max="6925" width="9" style="217"/>
    <col min="6926" max="6927" width="15.875" style="217" bestFit="1" customWidth="1"/>
    <col min="6928" max="6928" width="9.125" style="217" bestFit="1" customWidth="1"/>
    <col min="6929" max="6929" width="9.375" style="217" bestFit="1" customWidth="1"/>
    <col min="6930" max="7172" width="9" style="217"/>
    <col min="7173" max="7173" width="15.5" style="217" customWidth="1"/>
    <col min="7174" max="7175" width="15.875" style="217" bestFit="1" customWidth="1"/>
    <col min="7176" max="7176" width="15.125" style="217" customWidth="1"/>
    <col min="7177" max="7177" width="13.75" style="217" customWidth="1"/>
    <col min="7178" max="7178" width="9" style="217"/>
    <col min="7179" max="7179" width="17.125" style="217" bestFit="1" customWidth="1"/>
    <col min="7180" max="7180" width="15.5" style="217" customWidth="1"/>
    <col min="7181" max="7181" width="9" style="217"/>
    <col min="7182" max="7183" width="15.875" style="217" bestFit="1" customWidth="1"/>
    <col min="7184" max="7184" width="9.125" style="217" bestFit="1" customWidth="1"/>
    <col min="7185" max="7185" width="9.375" style="217" bestFit="1" customWidth="1"/>
    <col min="7186" max="7428" width="9" style="217"/>
    <col min="7429" max="7429" width="15.5" style="217" customWidth="1"/>
    <col min="7430" max="7431" width="15.875" style="217" bestFit="1" customWidth="1"/>
    <col min="7432" max="7432" width="15.125" style="217" customWidth="1"/>
    <col min="7433" max="7433" width="13.75" style="217" customWidth="1"/>
    <col min="7434" max="7434" width="9" style="217"/>
    <col min="7435" max="7435" width="17.125" style="217" bestFit="1" customWidth="1"/>
    <col min="7436" max="7436" width="15.5" style="217" customWidth="1"/>
    <col min="7437" max="7437" width="9" style="217"/>
    <col min="7438" max="7439" width="15.875" style="217" bestFit="1" customWidth="1"/>
    <col min="7440" max="7440" width="9.125" style="217" bestFit="1" customWidth="1"/>
    <col min="7441" max="7441" width="9.375" style="217" bestFit="1" customWidth="1"/>
    <col min="7442" max="7684" width="9" style="217"/>
    <col min="7685" max="7685" width="15.5" style="217" customWidth="1"/>
    <col min="7686" max="7687" width="15.875" style="217" bestFit="1" customWidth="1"/>
    <col min="7688" max="7688" width="15.125" style="217" customWidth="1"/>
    <col min="7689" max="7689" width="13.75" style="217" customWidth="1"/>
    <col min="7690" max="7690" width="9" style="217"/>
    <col min="7691" max="7691" width="17.125" style="217" bestFit="1" customWidth="1"/>
    <col min="7692" max="7692" width="15.5" style="217" customWidth="1"/>
    <col min="7693" max="7693" width="9" style="217"/>
    <col min="7694" max="7695" width="15.875" style="217" bestFit="1" customWidth="1"/>
    <col min="7696" max="7696" width="9.125" style="217" bestFit="1" customWidth="1"/>
    <col min="7697" max="7697" width="9.375" style="217" bestFit="1" customWidth="1"/>
    <col min="7698" max="7940" width="9" style="217"/>
    <col min="7941" max="7941" width="15.5" style="217" customWidth="1"/>
    <col min="7942" max="7943" width="15.875" style="217" bestFit="1" customWidth="1"/>
    <col min="7944" max="7944" width="15.125" style="217" customWidth="1"/>
    <col min="7945" max="7945" width="13.75" style="217" customWidth="1"/>
    <col min="7946" max="7946" width="9" style="217"/>
    <col min="7947" max="7947" width="17.125" style="217" bestFit="1" customWidth="1"/>
    <col min="7948" max="7948" width="15.5" style="217" customWidth="1"/>
    <col min="7949" max="7949" width="9" style="217"/>
    <col min="7950" max="7951" width="15.875" style="217" bestFit="1" customWidth="1"/>
    <col min="7952" max="7952" width="9.125" style="217" bestFit="1" customWidth="1"/>
    <col min="7953" max="7953" width="9.375" style="217" bestFit="1" customWidth="1"/>
    <col min="7954" max="8196" width="9" style="217"/>
    <col min="8197" max="8197" width="15.5" style="217" customWidth="1"/>
    <col min="8198" max="8199" width="15.875" style="217" bestFit="1" customWidth="1"/>
    <col min="8200" max="8200" width="15.125" style="217" customWidth="1"/>
    <col min="8201" max="8201" width="13.75" style="217" customWidth="1"/>
    <col min="8202" max="8202" width="9" style="217"/>
    <col min="8203" max="8203" width="17.125" style="217" bestFit="1" customWidth="1"/>
    <col min="8204" max="8204" width="15.5" style="217" customWidth="1"/>
    <col min="8205" max="8205" width="9" style="217"/>
    <col min="8206" max="8207" width="15.875" style="217" bestFit="1" customWidth="1"/>
    <col min="8208" max="8208" width="9.125" style="217" bestFit="1" customWidth="1"/>
    <col min="8209" max="8209" width="9.375" style="217" bestFit="1" customWidth="1"/>
    <col min="8210" max="8452" width="9" style="217"/>
    <col min="8453" max="8453" width="15.5" style="217" customWidth="1"/>
    <col min="8454" max="8455" width="15.875" style="217" bestFit="1" customWidth="1"/>
    <col min="8456" max="8456" width="15.125" style="217" customWidth="1"/>
    <col min="8457" max="8457" width="13.75" style="217" customWidth="1"/>
    <col min="8458" max="8458" width="9" style="217"/>
    <col min="8459" max="8459" width="17.125" style="217" bestFit="1" customWidth="1"/>
    <col min="8460" max="8460" width="15.5" style="217" customWidth="1"/>
    <col min="8461" max="8461" width="9" style="217"/>
    <col min="8462" max="8463" width="15.875" style="217" bestFit="1" customWidth="1"/>
    <col min="8464" max="8464" width="9.125" style="217" bestFit="1" customWidth="1"/>
    <col min="8465" max="8465" width="9.375" style="217" bestFit="1" customWidth="1"/>
    <col min="8466" max="8708" width="9" style="217"/>
    <col min="8709" max="8709" width="15.5" style="217" customWidth="1"/>
    <col min="8710" max="8711" width="15.875" style="217" bestFit="1" customWidth="1"/>
    <col min="8712" max="8712" width="15.125" style="217" customWidth="1"/>
    <col min="8713" max="8713" width="13.75" style="217" customWidth="1"/>
    <col min="8714" max="8714" width="9" style="217"/>
    <col min="8715" max="8715" width="17.125" style="217" bestFit="1" customWidth="1"/>
    <col min="8716" max="8716" width="15.5" style="217" customWidth="1"/>
    <col min="8717" max="8717" width="9" style="217"/>
    <col min="8718" max="8719" width="15.875" style="217" bestFit="1" customWidth="1"/>
    <col min="8720" max="8720" width="9.125" style="217" bestFit="1" customWidth="1"/>
    <col min="8721" max="8721" width="9.375" style="217" bestFit="1" customWidth="1"/>
    <col min="8722" max="8964" width="9" style="217"/>
    <col min="8965" max="8965" width="15.5" style="217" customWidth="1"/>
    <col min="8966" max="8967" width="15.875" style="217" bestFit="1" customWidth="1"/>
    <col min="8968" max="8968" width="15.125" style="217" customWidth="1"/>
    <col min="8969" max="8969" width="13.75" style="217" customWidth="1"/>
    <col min="8970" max="8970" width="9" style="217"/>
    <col min="8971" max="8971" width="17.125" style="217" bestFit="1" customWidth="1"/>
    <col min="8972" max="8972" width="15.5" style="217" customWidth="1"/>
    <col min="8973" max="8973" width="9" style="217"/>
    <col min="8974" max="8975" width="15.875" style="217" bestFit="1" customWidth="1"/>
    <col min="8976" max="8976" width="9.125" style="217" bestFit="1" customWidth="1"/>
    <col min="8977" max="8977" width="9.375" style="217" bestFit="1" customWidth="1"/>
    <col min="8978" max="9220" width="9" style="217"/>
    <col min="9221" max="9221" width="15.5" style="217" customWidth="1"/>
    <col min="9222" max="9223" width="15.875" style="217" bestFit="1" customWidth="1"/>
    <col min="9224" max="9224" width="15.125" style="217" customWidth="1"/>
    <col min="9225" max="9225" width="13.75" style="217" customWidth="1"/>
    <col min="9226" max="9226" width="9" style="217"/>
    <col min="9227" max="9227" width="17.125" style="217" bestFit="1" customWidth="1"/>
    <col min="9228" max="9228" width="15.5" style="217" customWidth="1"/>
    <col min="9229" max="9229" width="9" style="217"/>
    <col min="9230" max="9231" width="15.875" style="217" bestFit="1" customWidth="1"/>
    <col min="9232" max="9232" width="9.125" style="217" bestFit="1" customWidth="1"/>
    <col min="9233" max="9233" width="9.375" style="217" bestFit="1" customWidth="1"/>
    <col min="9234" max="9476" width="9" style="217"/>
    <col min="9477" max="9477" width="15.5" style="217" customWidth="1"/>
    <col min="9478" max="9479" width="15.875" style="217" bestFit="1" customWidth="1"/>
    <col min="9480" max="9480" width="15.125" style="217" customWidth="1"/>
    <col min="9481" max="9481" width="13.75" style="217" customWidth="1"/>
    <col min="9482" max="9482" width="9" style="217"/>
    <col min="9483" max="9483" width="17.125" style="217" bestFit="1" customWidth="1"/>
    <col min="9484" max="9484" width="15.5" style="217" customWidth="1"/>
    <col min="9485" max="9485" width="9" style="217"/>
    <col min="9486" max="9487" width="15.875" style="217" bestFit="1" customWidth="1"/>
    <col min="9488" max="9488" width="9.125" style="217" bestFit="1" customWidth="1"/>
    <col min="9489" max="9489" width="9.375" style="217" bestFit="1" customWidth="1"/>
    <col min="9490" max="9732" width="9" style="217"/>
    <col min="9733" max="9733" width="15.5" style="217" customWidth="1"/>
    <col min="9734" max="9735" width="15.875" style="217" bestFit="1" customWidth="1"/>
    <col min="9736" max="9736" width="15.125" style="217" customWidth="1"/>
    <col min="9737" max="9737" width="13.75" style="217" customWidth="1"/>
    <col min="9738" max="9738" width="9" style="217"/>
    <col min="9739" max="9739" width="17.125" style="217" bestFit="1" customWidth="1"/>
    <col min="9740" max="9740" width="15.5" style="217" customWidth="1"/>
    <col min="9741" max="9741" width="9" style="217"/>
    <col min="9742" max="9743" width="15.875" style="217" bestFit="1" customWidth="1"/>
    <col min="9744" max="9744" width="9.125" style="217" bestFit="1" customWidth="1"/>
    <col min="9745" max="9745" width="9.375" style="217" bestFit="1" customWidth="1"/>
    <col min="9746" max="9988" width="9" style="217"/>
    <col min="9989" max="9989" width="15.5" style="217" customWidth="1"/>
    <col min="9990" max="9991" width="15.875" style="217" bestFit="1" customWidth="1"/>
    <col min="9992" max="9992" width="15.125" style="217" customWidth="1"/>
    <col min="9993" max="9993" width="13.75" style="217" customWidth="1"/>
    <col min="9994" max="9994" width="9" style="217"/>
    <col min="9995" max="9995" width="17.125" style="217" bestFit="1" customWidth="1"/>
    <col min="9996" max="9996" width="15.5" style="217" customWidth="1"/>
    <col min="9997" max="9997" width="9" style="217"/>
    <col min="9998" max="9999" width="15.875" style="217" bestFit="1" customWidth="1"/>
    <col min="10000" max="10000" width="9.125" style="217" bestFit="1" customWidth="1"/>
    <col min="10001" max="10001" width="9.375" style="217" bestFit="1" customWidth="1"/>
    <col min="10002" max="10244" width="9" style="217"/>
    <col min="10245" max="10245" width="15.5" style="217" customWidth="1"/>
    <col min="10246" max="10247" width="15.875" style="217" bestFit="1" customWidth="1"/>
    <col min="10248" max="10248" width="15.125" style="217" customWidth="1"/>
    <col min="10249" max="10249" width="13.75" style="217" customWidth="1"/>
    <col min="10250" max="10250" width="9" style="217"/>
    <col min="10251" max="10251" width="17.125" style="217" bestFit="1" customWidth="1"/>
    <col min="10252" max="10252" width="15.5" style="217" customWidth="1"/>
    <col min="10253" max="10253" width="9" style="217"/>
    <col min="10254" max="10255" width="15.875" style="217" bestFit="1" customWidth="1"/>
    <col min="10256" max="10256" width="9.125" style="217" bestFit="1" customWidth="1"/>
    <col min="10257" max="10257" width="9.375" style="217" bestFit="1" customWidth="1"/>
    <col min="10258" max="10500" width="9" style="217"/>
    <col min="10501" max="10501" width="15.5" style="217" customWidth="1"/>
    <col min="10502" max="10503" width="15.875" style="217" bestFit="1" customWidth="1"/>
    <col min="10504" max="10504" width="15.125" style="217" customWidth="1"/>
    <col min="10505" max="10505" width="13.75" style="217" customWidth="1"/>
    <col min="10506" max="10506" width="9" style="217"/>
    <col min="10507" max="10507" width="17.125" style="217" bestFit="1" customWidth="1"/>
    <col min="10508" max="10508" width="15.5" style="217" customWidth="1"/>
    <col min="10509" max="10509" width="9" style="217"/>
    <col min="10510" max="10511" width="15.875" style="217" bestFit="1" customWidth="1"/>
    <col min="10512" max="10512" width="9.125" style="217" bestFit="1" customWidth="1"/>
    <col min="10513" max="10513" width="9.375" style="217" bestFit="1" customWidth="1"/>
    <col min="10514" max="10756" width="9" style="217"/>
    <col min="10757" max="10757" width="15.5" style="217" customWidth="1"/>
    <col min="10758" max="10759" width="15.875" style="217" bestFit="1" customWidth="1"/>
    <col min="10760" max="10760" width="15.125" style="217" customWidth="1"/>
    <col min="10761" max="10761" width="13.75" style="217" customWidth="1"/>
    <col min="10762" max="10762" width="9" style="217"/>
    <col min="10763" max="10763" width="17.125" style="217" bestFit="1" customWidth="1"/>
    <col min="10764" max="10764" width="15.5" style="217" customWidth="1"/>
    <col min="10765" max="10765" width="9" style="217"/>
    <col min="10766" max="10767" width="15.875" style="217" bestFit="1" customWidth="1"/>
    <col min="10768" max="10768" width="9.125" style="217" bestFit="1" customWidth="1"/>
    <col min="10769" max="10769" width="9.375" style="217" bestFit="1" customWidth="1"/>
    <col min="10770" max="11012" width="9" style="217"/>
    <col min="11013" max="11013" width="15.5" style="217" customWidth="1"/>
    <col min="11014" max="11015" width="15.875" style="217" bestFit="1" customWidth="1"/>
    <col min="11016" max="11016" width="15.125" style="217" customWidth="1"/>
    <col min="11017" max="11017" width="13.75" style="217" customWidth="1"/>
    <col min="11018" max="11018" width="9" style="217"/>
    <col min="11019" max="11019" width="17.125" style="217" bestFit="1" customWidth="1"/>
    <col min="11020" max="11020" width="15.5" style="217" customWidth="1"/>
    <col min="11021" max="11021" width="9" style="217"/>
    <col min="11022" max="11023" width="15.875" style="217" bestFit="1" customWidth="1"/>
    <col min="11024" max="11024" width="9.125" style="217" bestFit="1" customWidth="1"/>
    <col min="11025" max="11025" width="9.375" style="217" bestFit="1" customWidth="1"/>
    <col min="11026" max="11268" width="9" style="217"/>
    <col min="11269" max="11269" width="15.5" style="217" customWidth="1"/>
    <col min="11270" max="11271" width="15.875" style="217" bestFit="1" customWidth="1"/>
    <col min="11272" max="11272" width="15.125" style="217" customWidth="1"/>
    <col min="11273" max="11273" width="13.75" style="217" customWidth="1"/>
    <col min="11274" max="11274" width="9" style="217"/>
    <col min="11275" max="11275" width="17.125" style="217" bestFit="1" customWidth="1"/>
    <col min="11276" max="11276" width="15.5" style="217" customWidth="1"/>
    <col min="11277" max="11277" width="9" style="217"/>
    <col min="11278" max="11279" width="15.875" style="217" bestFit="1" customWidth="1"/>
    <col min="11280" max="11280" width="9.125" style="217" bestFit="1" customWidth="1"/>
    <col min="11281" max="11281" width="9.375" style="217" bestFit="1" customWidth="1"/>
    <col min="11282" max="11524" width="9" style="217"/>
    <col min="11525" max="11525" width="15.5" style="217" customWidth="1"/>
    <col min="11526" max="11527" width="15.875" style="217" bestFit="1" customWidth="1"/>
    <col min="11528" max="11528" width="15.125" style="217" customWidth="1"/>
    <col min="11529" max="11529" width="13.75" style="217" customWidth="1"/>
    <col min="11530" max="11530" width="9" style="217"/>
    <col min="11531" max="11531" width="17.125" style="217" bestFit="1" customWidth="1"/>
    <col min="11532" max="11532" width="15.5" style="217" customWidth="1"/>
    <col min="11533" max="11533" width="9" style="217"/>
    <col min="11534" max="11535" width="15.875" style="217" bestFit="1" customWidth="1"/>
    <col min="11536" max="11536" width="9.125" style="217" bestFit="1" customWidth="1"/>
    <col min="11537" max="11537" width="9.375" style="217" bestFit="1" customWidth="1"/>
    <col min="11538" max="11780" width="9" style="217"/>
    <col min="11781" max="11781" width="15.5" style="217" customWidth="1"/>
    <col min="11782" max="11783" width="15.875" style="217" bestFit="1" customWidth="1"/>
    <col min="11784" max="11784" width="15.125" style="217" customWidth="1"/>
    <col min="11785" max="11785" width="13.75" style="217" customWidth="1"/>
    <col min="11786" max="11786" width="9" style="217"/>
    <col min="11787" max="11787" width="17.125" style="217" bestFit="1" customWidth="1"/>
    <col min="11788" max="11788" width="15.5" style="217" customWidth="1"/>
    <col min="11789" max="11789" width="9" style="217"/>
    <col min="11790" max="11791" width="15.875" style="217" bestFit="1" customWidth="1"/>
    <col min="11792" max="11792" width="9.125" style="217" bestFit="1" customWidth="1"/>
    <col min="11793" max="11793" width="9.375" style="217" bestFit="1" customWidth="1"/>
    <col min="11794" max="12036" width="9" style="217"/>
    <col min="12037" max="12037" width="15.5" style="217" customWidth="1"/>
    <col min="12038" max="12039" width="15.875" style="217" bestFit="1" customWidth="1"/>
    <col min="12040" max="12040" width="15.125" style="217" customWidth="1"/>
    <col min="12041" max="12041" width="13.75" style="217" customWidth="1"/>
    <col min="12042" max="12042" width="9" style="217"/>
    <col min="12043" max="12043" width="17.125" style="217" bestFit="1" customWidth="1"/>
    <col min="12044" max="12044" width="15.5" style="217" customWidth="1"/>
    <col min="12045" max="12045" width="9" style="217"/>
    <col min="12046" max="12047" width="15.875" style="217" bestFit="1" customWidth="1"/>
    <col min="12048" max="12048" width="9.125" style="217" bestFit="1" customWidth="1"/>
    <col min="12049" max="12049" width="9.375" style="217" bestFit="1" customWidth="1"/>
    <col min="12050" max="12292" width="9" style="217"/>
    <col min="12293" max="12293" width="15.5" style="217" customWidth="1"/>
    <col min="12294" max="12295" width="15.875" style="217" bestFit="1" customWidth="1"/>
    <col min="12296" max="12296" width="15.125" style="217" customWidth="1"/>
    <col min="12297" max="12297" width="13.75" style="217" customWidth="1"/>
    <col min="12298" max="12298" width="9" style="217"/>
    <col min="12299" max="12299" width="17.125" style="217" bestFit="1" customWidth="1"/>
    <col min="12300" max="12300" width="15.5" style="217" customWidth="1"/>
    <col min="12301" max="12301" width="9" style="217"/>
    <col min="12302" max="12303" width="15.875" style="217" bestFit="1" customWidth="1"/>
    <col min="12304" max="12304" width="9.125" style="217" bestFit="1" customWidth="1"/>
    <col min="12305" max="12305" width="9.375" style="217" bestFit="1" customWidth="1"/>
    <col min="12306" max="12548" width="9" style="217"/>
    <col min="12549" max="12549" width="15.5" style="217" customWidth="1"/>
    <col min="12550" max="12551" width="15.875" style="217" bestFit="1" customWidth="1"/>
    <col min="12552" max="12552" width="15.125" style="217" customWidth="1"/>
    <col min="12553" max="12553" width="13.75" style="217" customWidth="1"/>
    <col min="12554" max="12554" width="9" style="217"/>
    <col min="12555" max="12555" width="17.125" style="217" bestFit="1" customWidth="1"/>
    <col min="12556" max="12556" width="15.5" style="217" customWidth="1"/>
    <col min="12557" max="12557" width="9" style="217"/>
    <col min="12558" max="12559" width="15.875" style="217" bestFit="1" customWidth="1"/>
    <col min="12560" max="12560" width="9.125" style="217" bestFit="1" customWidth="1"/>
    <col min="12561" max="12561" width="9.375" style="217" bestFit="1" customWidth="1"/>
    <col min="12562" max="12804" width="9" style="217"/>
    <col min="12805" max="12805" width="15.5" style="217" customWidth="1"/>
    <col min="12806" max="12807" width="15.875" style="217" bestFit="1" customWidth="1"/>
    <col min="12808" max="12808" width="15.125" style="217" customWidth="1"/>
    <col min="12809" max="12809" width="13.75" style="217" customWidth="1"/>
    <col min="12810" max="12810" width="9" style="217"/>
    <col min="12811" max="12811" width="17.125" style="217" bestFit="1" customWidth="1"/>
    <col min="12812" max="12812" width="15.5" style="217" customWidth="1"/>
    <col min="12813" max="12813" width="9" style="217"/>
    <col min="12814" max="12815" width="15.875" style="217" bestFit="1" customWidth="1"/>
    <col min="12816" max="12816" width="9.125" style="217" bestFit="1" customWidth="1"/>
    <col min="12817" max="12817" width="9.375" style="217" bestFit="1" customWidth="1"/>
    <col min="12818" max="13060" width="9" style="217"/>
    <col min="13061" max="13061" width="15.5" style="217" customWidth="1"/>
    <col min="13062" max="13063" width="15.875" style="217" bestFit="1" customWidth="1"/>
    <col min="13064" max="13064" width="15.125" style="217" customWidth="1"/>
    <col min="13065" max="13065" width="13.75" style="217" customWidth="1"/>
    <col min="13066" max="13066" width="9" style="217"/>
    <col min="13067" max="13067" width="17.125" style="217" bestFit="1" customWidth="1"/>
    <col min="13068" max="13068" width="15.5" style="217" customWidth="1"/>
    <col min="13069" max="13069" width="9" style="217"/>
    <col min="13070" max="13071" width="15.875" style="217" bestFit="1" customWidth="1"/>
    <col min="13072" max="13072" width="9.125" style="217" bestFit="1" customWidth="1"/>
    <col min="13073" max="13073" width="9.375" style="217" bestFit="1" customWidth="1"/>
    <col min="13074" max="13316" width="9" style="217"/>
    <col min="13317" max="13317" width="15.5" style="217" customWidth="1"/>
    <col min="13318" max="13319" width="15.875" style="217" bestFit="1" customWidth="1"/>
    <col min="13320" max="13320" width="15.125" style="217" customWidth="1"/>
    <col min="13321" max="13321" width="13.75" style="217" customWidth="1"/>
    <col min="13322" max="13322" width="9" style="217"/>
    <col min="13323" max="13323" width="17.125" style="217" bestFit="1" customWidth="1"/>
    <col min="13324" max="13324" width="15.5" style="217" customWidth="1"/>
    <col min="13325" max="13325" width="9" style="217"/>
    <col min="13326" max="13327" width="15.875" style="217" bestFit="1" customWidth="1"/>
    <col min="13328" max="13328" width="9.125" style="217" bestFit="1" customWidth="1"/>
    <col min="13329" max="13329" width="9.375" style="217" bestFit="1" customWidth="1"/>
    <col min="13330" max="13572" width="9" style="217"/>
    <col min="13573" max="13573" width="15.5" style="217" customWidth="1"/>
    <col min="13574" max="13575" width="15.875" style="217" bestFit="1" customWidth="1"/>
    <col min="13576" max="13576" width="15.125" style="217" customWidth="1"/>
    <col min="13577" max="13577" width="13.75" style="217" customWidth="1"/>
    <col min="13578" max="13578" width="9" style="217"/>
    <col min="13579" max="13579" width="17.125" style="217" bestFit="1" customWidth="1"/>
    <col min="13580" max="13580" width="15.5" style="217" customWidth="1"/>
    <col min="13581" max="13581" width="9" style="217"/>
    <col min="13582" max="13583" width="15.875" style="217" bestFit="1" customWidth="1"/>
    <col min="13584" max="13584" width="9.125" style="217" bestFit="1" customWidth="1"/>
    <col min="13585" max="13585" width="9.375" style="217" bestFit="1" customWidth="1"/>
    <col min="13586" max="13828" width="9" style="217"/>
    <col min="13829" max="13829" width="15.5" style="217" customWidth="1"/>
    <col min="13830" max="13831" width="15.875" style="217" bestFit="1" customWidth="1"/>
    <col min="13832" max="13832" width="15.125" style="217" customWidth="1"/>
    <col min="13833" max="13833" width="13.75" style="217" customWidth="1"/>
    <col min="13834" max="13834" width="9" style="217"/>
    <col min="13835" max="13835" width="17.125" style="217" bestFit="1" customWidth="1"/>
    <col min="13836" max="13836" width="15.5" style="217" customWidth="1"/>
    <col min="13837" max="13837" width="9" style="217"/>
    <col min="13838" max="13839" width="15.875" style="217" bestFit="1" customWidth="1"/>
    <col min="13840" max="13840" width="9.125" style="217" bestFit="1" customWidth="1"/>
    <col min="13841" max="13841" width="9.375" style="217" bestFit="1" customWidth="1"/>
    <col min="13842" max="14084" width="9" style="217"/>
    <col min="14085" max="14085" width="15.5" style="217" customWidth="1"/>
    <col min="14086" max="14087" width="15.875" style="217" bestFit="1" customWidth="1"/>
    <col min="14088" max="14088" width="15.125" style="217" customWidth="1"/>
    <col min="14089" max="14089" width="13.75" style="217" customWidth="1"/>
    <col min="14090" max="14090" width="9" style="217"/>
    <col min="14091" max="14091" width="17.125" style="217" bestFit="1" customWidth="1"/>
    <col min="14092" max="14092" width="15.5" style="217" customWidth="1"/>
    <col min="14093" max="14093" width="9" style="217"/>
    <col min="14094" max="14095" width="15.875" style="217" bestFit="1" customWidth="1"/>
    <col min="14096" max="14096" width="9.125" style="217" bestFit="1" customWidth="1"/>
    <col min="14097" max="14097" width="9.375" style="217" bestFit="1" customWidth="1"/>
    <col min="14098" max="14340" width="9" style="217"/>
    <col min="14341" max="14341" width="15.5" style="217" customWidth="1"/>
    <col min="14342" max="14343" width="15.875" style="217" bestFit="1" customWidth="1"/>
    <col min="14344" max="14344" width="15.125" style="217" customWidth="1"/>
    <col min="14345" max="14345" width="13.75" style="217" customWidth="1"/>
    <col min="14346" max="14346" width="9" style="217"/>
    <col min="14347" max="14347" width="17.125" style="217" bestFit="1" customWidth="1"/>
    <col min="14348" max="14348" width="15.5" style="217" customWidth="1"/>
    <col min="14349" max="14349" width="9" style="217"/>
    <col min="14350" max="14351" width="15.875" style="217" bestFit="1" customWidth="1"/>
    <col min="14352" max="14352" width="9.125" style="217" bestFit="1" customWidth="1"/>
    <col min="14353" max="14353" width="9.375" style="217" bestFit="1" customWidth="1"/>
    <col min="14354" max="14596" width="9" style="217"/>
    <col min="14597" max="14597" width="15.5" style="217" customWidth="1"/>
    <col min="14598" max="14599" width="15.875" style="217" bestFit="1" customWidth="1"/>
    <col min="14600" max="14600" width="15.125" style="217" customWidth="1"/>
    <col min="14601" max="14601" width="13.75" style="217" customWidth="1"/>
    <col min="14602" max="14602" width="9" style="217"/>
    <col min="14603" max="14603" width="17.125" style="217" bestFit="1" customWidth="1"/>
    <col min="14604" max="14604" width="15.5" style="217" customWidth="1"/>
    <col min="14605" max="14605" width="9" style="217"/>
    <col min="14606" max="14607" width="15.875" style="217" bestFit="1" customWidth="1"/>
    <col min="14608" max="14608" width="9.125" style="217" bestFit="1" customWidth="1"/>
    <col min="14609" max="14609" width="9.375" style="217" bestFit="1" customWidth="1"/>
    <col min="14610" max="14852" width="9" style="217"/>
    <col min="14853" max="14853" width="15.5" style="217" customWidth="1"/>
    <col min="14854" max="14855" width="15.875" style="217" bestFit="1" customWidth="1"/>
    <col min="14856" max="14856" width="15.125" style="217" customWidth="1"/>
    <col min="14857" max="14857" width="13.75" style="217" customWidth="1"/>
    <col min="14858" max="14858" width="9" style="217"/>
    <col min="14859" max="14859" width="17.125" style="217" bestFit="1" customWidth="1"/>
    <col min="14860" max="14860" width="15.5" style="217" customWidth="1"/>
    <col min="14861" max="14861" width="9" style="217"/>
    <col min="14862" max="14863" width="15.875" style="217" bestFit="1" customWidth="1"/>
    <col min="14864" max="14864" width="9.125" style="217" bestFit="1" customWidth="1"/>
    <col min="14865" max="14865" width="9.375" style="217" bestFit="1" customWidth="1"/>
    <col min="14866" max="15108" width="9" style="217"/>
    <col min="15109" max="15109" width="15.5" style="217" customWidth="1"/>
    <col min="15110" max="15111" width="15.875" style="217" bestFit="1" customWidth="1"/>
    <col min="15112" max="15112" width="15.125" style="217" customWidth="1"/>
    <col min="15113" max="15113" width="13.75" style="217" customWidth="1"/>
    <col min="15114" max="15114" width="9" style="217"/>
    <col min="15115" max="15115" width="17.125" style="217" bestFit="1" customWidth="1"/>
    <col min="15116" max="15116" width="15.5" style="217" customWidth="1"/>
    <col min="15117" max="15117" width="9" style="217"/>
    <col min="15118" max="15119" width="15.875" style="217" bestFit="1" customWidth="1"/>
    <col min="15120" max="15120" width="9.125" style="217" bestFit="1" customWidth="1"/>
    <col min="15121" max="15121" width="9.375" style="217" bestFit="1" customWidth="1"/>
    <col min="15122" max="15364" width="9" style="217"/>
    <col min="15365" max="15365" width="15.5" style="217" customWidth="1"/>
    <col min="15366" max="15367" width="15.875" style="217" bestFit="1" customWidth="1"/>
    <col min="15368" max="15368" width="15.125" style="217" customWidth="1"/>
    <col min="15369" max="15369" width="13.75" style="217" customWidth="1"/>
    <col min="15370" max="15370" width="9" style="217"/>
    <col min="15371" max="15371" width="17.125" style="217" bestFit="1" customWidth="1"/>
    <col min="15372" max="15372" width="15.5" style="217" customWidth="1"/>
    <col min="15373" max="15373" width="9" style="217"/>
    <col min="15374" max="15375" width="15.875" style="217" bestFit="1" customWidth="1"/>
    <col min="15376" max="15376" width="9.125" style="217" bestFit="1" customWidth="1"/>
    <col min="15377" max="15377" width="9.375" style="217" bestFit="1" customWidth="1"/>
    <col min="15378" max="15620" width="9" style="217"/>
    <col min="15621" max="15621" width="15.5" style="217" customWidth="1"/>
    <col min="15622" max="15623" width="15.875" style="217" bestFit="1" customWidth="1"/>
    <col min="15624" max="15624" width="15.125" style="217" customWidth="1"/>
    <col min="15625" max="15625" width="13.75" style="217" customWidth="1"/>
    <col min="15626" max="15626" width="9" style="217"/>
    <col min="15627" max="15627" width="17.125" style="217" bestFit="1" customWidth="1"/>
    <col min="15628" max="15628" width="15.5" style="217" customWidth="1"/>
    <col min="15629" max="15629" width="9" style="217"/>
    <col min="15630" max="15631" width="15.875" style="217" bestFit="1" customWidth="1"/>
    <col min="15632" max="15632" width="9.125" style="217" bestFit="1" customWidth="1"/>
    <col min="15633" max="15633" width="9.375" style="217" bestFit="1" customWidth="1"/>
    <col min="15634" max="15876" width="9" style="217"/>
    <col min="15877" max="15877" width="15.5" style="217" customWidth="1"/>
    <col min="15878" max="15879" width="15.875" style="217" bestFit="1" customWidth="1"/>
    <col min="15880" max="15880" width="15.125" style="217" customWidth="1"/>
    <col min="15881" max="15881" width="13.75" style="217" customWidth="1"/>
    <col min="15882" max="15882" width="9" style="217"/>
    <col min="15883" max="15883" width="17.125" style="217" bestFit="1" customWidth="1"/>
    <col min="15884" max="15884" width="15.5" style="217" customWidth="1"/>
    <col min="15885" max="15885" width="9" style="217"/>
    <col min="15886" max="15887" width="15.875" style="217" bestFit="1" customWidth="1"/>
    <col min="15888" max="15888" width="9.125" style="217" bestFit="1" customWidth="1"/>
    <col min="15889" max="15889" width="9.375" style="217" bestFit="1" customWidth="1"/>
    <col min="15890" max="16132" width="9" style="217"/>
    <col min="16133" max="16133" width="15.5" style="217" customWidth="1"/>
    <col min="16134" max="16135" width="15.875" style="217" bestFit="1" customWidth="1"/>
    <col min="16136" max="16136" width="15.125" style="217" customWidth="1"/>
    <col min="16137" max="16137" width="13.75" style="217" customWidth="1"/>
    <col min="16138" max="16138" width="9" style="217"/>
    <col min="16139" max="16139" width="17.125" style="217" bestFit="1" customWidth="1"/>
    <col min="16140" max="16140" width="15.5" style="217" customWidth="1"/>
    <col min="16141" max="16141" width="9" style="217"/>
    <col min="16142" max="16143" width="15.875" style="217" bestFit="1" customWidth="1"/>
    <col min="16144" max="16144" width="9.125" style="217" bestFit="1" customWidth="1"/>
    <col min="16145" max="16145" width="9.375" style="217" bestFit="1" customWidth="1"/>
    <col min="16146" max="16384" width="9" style="217"/>
  </cols>
  <sheetData>
    <row r="2" spans="1:14">
      <c r="E2" s="269" t="s">
        <v>604</v>
      </c>
    </row>
    <row r="3" spans="1:14">
      <c r="E3" s="678" t="s">
        <v>594</v>
      </c>
      <c r="G3" s="678" t="s">
        <v>595</v>
      </c>
      <c r="I3" s="678" t="s">
        <v>596</v>
      </c>
      <c r="K3" s="678" t="s">
        <v>597</v>
      </c>
      <c r="M3" s="678" t="s">
        <v>598</v>
      </c>
    </row>
    <row r="4" spans="1:14">
      <c r="B4" s="196"/>
      <c r="C4" s="196"/>
      <c r="D4" s="196"/>
      <c r="E4" s="196" t="s">
        <v>150</v>
      </c>
      <c r="F4" s="197" t="s">
        <v>594</v>
      </c>
      <c r="G4" s="196" t="s">
        <v>162</v>
      </c>
      <c r="H4" s="197" t="s">
        <v>595</v>
      </c>
      <c r="I4" s="196" t="s">
        <v>163</v>
      </c>
      <c r="J4" s="197" t="s">
        <v>596</v>
      </c>
      <c r="K4" s="196" t="s">
        <v>151</v>
      </c>
      <c r="L4" s="197" t="s">
        <v>597</v>
      </c>
      <c r="M4" s="196" t="s">
        <v>164</v>
      </c>
      <c r="N4" s="197" t="s">
        <v>598</v>
      </c>
    </row>
    <row r="5" spans="1:14">
      <c r="C5" s="196"/>
      <c r="D5" s="196" t="s">
        <v>28</v>
      </c>
      <c r="E5" s="196">
        <f>INDEX(LINEST(IF特性!$J$16:$J$27,IF特性!$D$16:$D$27^{1,2}),1,1)</f>
        <v>-5.5757853657462115E-7</v>
      </c>
      <c r="F5" s="197">
        <f>INDEX(LINEST(F12:F23,A12:A23^{1,2}),1,1)</f>
        <v>-5.5791916066851983E-7</v>
      </c>
      <c r="G5" s="196">
        <f>INDEX(LINEST(IF特性!$L$31:$L$42,IF特性!$D$31:$D$42^{1,2,3}),1,1)</f>
        <v>2.4836788549425116E-9</v>
      </c>
      <c r="H5" s="197">
        <f>INDEX(LINEST(H12:H23,A12:A23^{1,2,3}),1,1)</f>
        <v>2.4827670185275499E-9</v>
      </c>
      <c r="I5" s="196">
        <f>INDEX(LINEST(IF特性!$D$31:$D$42,IF特性!$L$31:$L$42^{1,2,3}),1,1)</f>
        <v>10.269595578868998</v>
      </c>
      <c r="J5" s="197">
        <f>INDEX(LINEST(J12:J23,B12:B23^{1,2,3}),1,1)</f>
        <v>10.281993740812391</v>
      </c>
      <c r="K5" s="196">
        <f>INDEX(LINEST(Tc特性!$J$15:$J$23,Tc特性!$C$15:$C$23^{1,2}),1,1)</f>
        <v>1.4850865956692013E-6</v>
      </c>
      <c r="L5" s="197">
        <f>INDEX(LINEST(L12:L20,C12:C20^{1,2}),1,1)</f>
        <v>1.4835966164305514E-6</v>
      </c>
      <c r="M5" s="196">
        <f>INDEX(LINEST(Tc特性!$L$29:$L$37,Tc特性!$C$29:$C$37^{1,2,3}),1,1)</f>
        <v>-1.8924360417800725E-10</v>
      </c>
      <c r="N5" s="197">
        <f>INDEX(LINEST(N12:N20,C12:C20^{1,2,3}),1,1)</f>
        <v>-1.8910606314372557E-10</v>
      </c>
    </row>
    <row r="6" spans="1:14">
      <c r="C6" s="196"/>
      <c r="D6" s="196" t="s">
        <v>29</v>
      </c>
      <c r="E6" s="196">
        <f>INDEX(LINEST(IF特性!$J$16:$J$27,IF特性!$D$16:$D$27^{1,2}),1,2)</f>
        <v>8.1397149445190545E-4</v>
      </c>
      <c r="F6" s="197">
        <f>INDEX(LINEST(F12:F23,A12:A23^{1,2}),1,2)</f>
        <v>8.144687487121918E-4</v>
      </c>
      <c r="G6" s="196">
        <f>INDEX(LINEST(IF特性!$L$31:$L$42,IF特性!$D$31:$D$42^{1,2,3}),1,2)</f>
        <v>-5.6732020233466232E-6</v>
      </c>
      <c r="H6" s="197">
        <f>INDEX(LINEST(H12:H23,A12:A23^{1,2,3}),1,2)</f>
        <v>-5.6711192129284104E-6</v>
      </c>
      <c r="I6" s="196">
        <f>INDEX(LINEST(IF特性!$D$31:$D$42,IF特性!$L$31:$L$42^{1,2,3}),1,2)</f>
        <v>8.8366755615496135</v>
      </c>
      <c r="J6" s="197">
        <f>INDEX(LINEST(J12:J23,B12:B23^{1,2,3}),1,2)</f>
        <v>8.8473438039176244</v>
      </c>
      <c r="K6" s="196">
        <f>INDEX(LINEST(Tc特性!$J$15:$J$23,Tc特性!$C$15:$C$23^{1,2}),1,2)</f>
        <v>-7.3023959098921507E-4</v>
      </c>
      <c r="L6" s="197">
        <f>INDEX(LINEST(L12:L20,C12:C20^{1,2}),1,2)</f>
        <v>-7.2950694561150792E-4</v>
      </c>
      <c r="M6" s="196">
        <f>INDEX(LINEST(Tc特性!$L$29:$L$37,Tc特性!$C$29:$C$37^{1,2,3}),1,2)</f>
        <v>-6.5742638448837446E-6</v>
      </c>
      <c r="N6" s="197">
        <f>INDEX(LINEST(N12:N20,C12:C20^{1,2,3}),1,2)</f>
        <v>-6.5694857122192818E-6</v>
      </c>
    </row>
    <row r="7" spans="1:14">
      <c r="C7" s="196"/>
      <c r="D7" s="196" t="s">
        <v>30</v>
      </c>
      <c r="E7" s="196">
        <f>INDEX(LINEST(IF特性!$J$16:$J$27,IF特性!$D$16:$D$27^{1,2}),1,3)</f>
        <v>0.87402030526032093</v>
      </c>
      <c r="F7" s="197">
        <f>INDEX(LINEST(F12:F23,A12:A23^{1,2}),1,3)</f>
        <v>0.87455424327084008</v>
      </c>
      <c r="G7" s="196">
        <f>INDEX(LINEST(IF特性!$L$31:$L$42,IF特性!$D$31:$D$42^{1,2,3}),1,3)</f>
        <v>6.6217558421412361E-3</v>
      </c>
      <c r="H7" s="197">
        <f>INDEX(LINEST(H12:H23,A12:A23^{1,2,3}),1,3)</f>
        <v>6.6193247878621152E-3</v>
      </c>
      <c r="I7" s="196">
        <f>INDEX(LINEST(IF特性!$D$31:$D$42,IF特性!$L$31:$L$42^{1,2,3}),1,3)</f>
        <v>156.90306585738585</v>
      </c>
      <c r="J7" s="197">
        <f>INDEX(LINEST(J12:J23,B12:B23^{1,2,3}),1,3)</f>
        <v>157.0924900274988</v>
      </c>
      <c r="K7" s="196">
        <f>INDEX(LINEST(Tc特性!$J$15:$J$23,Tc特性!$C$15:$C$23^{1,2}),1,3)</f>
        <v>1.0183321127802147</v>
      </c>
      <c r="L7" s="197">
        <f>INDEX(LINEST(L12:L20,C12:C20^{1,2}),1,3)</f>
        <v>1.0173104257550183</v>
      </c>
      <c r="M7" s="196">
        <f>INDEX(LINEST(Tc特性!$L$29:$L$37,Tc特性!$C$29:$C$37^{1,2,3}),1,3)</f>
        <v>-1.3026788583224834E-3</v>
      </c>
      <c r="N7" s="197">
        <f>INDEX(LINEST(N12:N20,C12:C20^{1,2,3}),1,3)</f>
        <v>-1.3017320797095156E-3</v>
      </c>
    </row>
    <row r="8" spans="1:14">
      <c r="C8" s="196"/>
      <c r="D8" s="196" t="s">
        <v>153</v>
      </c>
      <c r="E8" s="196"/>
      <c r="G8" s="196">
        <f>INDEX(LINEST(IF特性!$L$31:$L$42,IF特性!$D$31:$D$42^{1,2,3}),1,4)</f>
        <v>1.9908394297448798E-3</v>
      </c>
      <c r="H8" s="197">
        <f>INDEX(LINEST(H12:H23,A12:A23^{1,2,3}),1,4)</f>
        <v>1.9901085301417543E-3</v>
      </c>
      <c r="I8" s="196">
        <f>INDEX(LINEST(IF特性!$D$31:$D$42,IF特性!$L$31:$L$42^{1,2,3}),1,4)</f>
        <v>-1.2203542766318414</v>
      </c>
      <c r="J8" s="197">
        <f>INDEX(LINEST(J12:J23,B12:B23^{1,2,3}),1,4)</f>
        <v>-1.2218275722288112</v>
      </c>
      <c r="M8" s="196">
        <f>INDEX(LINEST(Tc特性!$L$29:$L$37,Tc特性!$C$29:$C$37^{1,2,3}),1,4)</f>
        <v>1.0374061654716424</v>
      </c>
      <c r="N8" s="197">
        <f>INDEX(LINEST(N12:N20,C12:C20^{1,2,3}),1,4)</f>
        <v>1.0366521853451116</v>
      </c>
    </row>
    <row r="10" spans="1:14">
      <c r="E10" s="677">
        <f>E5*A17^2+E6*A17+E7</f>
        <v>0.99938947410680656</v>
      </c>
      <c r="F10" s="679">
        <f>F5*A17^2+F6*A17+F7</f>
        <v>1.0000000000000002</v>
      </c>
      <c r="G10" s="677">
        <f>G5*A17^3+G6*A17^2+G7*A17+G8</f>
        <v>1.0003672662026784</v>
      </c>
      <c r="H10" s="679">
        <f>H5*A17^3+H6*A17^2+H7*A17+H8</f>
        <v>1.0000000000000004</v>
      </c>
      <c r="I10" s="677">
        <f>I5*B17^3+I6*B17^2+I7*B17+I8</f>
        <v>174.78898272117263</v>
      </c>
      <c r="J10" s="679">
        <f>J5*B17^3+J6*B17^2+J7*B17+J8</f>
        <v>175</v>
      </c>
      <c r="K10" s="677">
        <f>K5*C13^2+K6*C13+K7</f>
        <v>1.0010043021277777</v>
      </c>
      <c r="L10" s="682">
        <f>L5*C13^2+L6*C13+L7</f>
        <v>0.99999999999999967</v>
      </c>
      <c r="M10" s="677">
        <f>M5*C13^3+M6*C13^2+M7*C13+M8</f>
        <v>1.0007273221792128</v>
      </c>
      <c r="N10" s="679">
        <f>N5*C13^3+N6*C13^2+N7*C13+N8</f>
        <v>1</v>
      </c>
    </row>
    <row r="12" spans="1:14">
      <c r="A12" s="217">
        <f>IF特性!C31</f>
        <v>30</v>
      </c>
      <c r="B12" s="680">
        <f>IF特性!L31</f>
        <v>0.19468868156718924</v>
      </c>
      <c r="C12" s="217">
        <f>Tc特性!C29</f>
        <v>0</v>
      </c>
      <c r="E12" s="217">
        <f t="shared" ref="E12:E23" si="0">$E$5*A12^2+$E$6*A12+$E$7</f>
        <v>0.89793762941096089</v>
      </c>
      <c r="F12" s="217">
        <f t="shared" ref="F12:F16" si="1">E12/$E$17</f>
        <v>0.89848617848760404</v>
      </c>
      <c r="G12" s="217">
        <f t="shared" ref="G12:G23" si="2">$G$5*A12^3+$G$6*A12^2+$G$7*A12+$G$8</f>
        <v>0.19560469220205343</v>
      </c>
      <c r="H12" s="217">
        <f t="shared" ref="H12:H23" si="3">G12/$G$17</f>
        <v>0.19553287958386989</v>
      </c>
      <c r="I12" s="217">
        <f t="shared" ref="I12:I23" si="4">$I$5*B12^3+$I$6*B12^2+$I$7*B12+$I$8</f>
        <v>29.737622934513933</v>
      </c>
      <c r="J12" s="217">
        <f t="shared" ref="J12:J23" si="5">I12/$I$17*$A$17</f>
        <v>29.773524237746788</v>
      </c>
      <c r="K12" s="217">
        <f t="shared" ref="K12:K20" si="6">$K$5*C12^2+$K$6*C12+$K$7</f>
        <v>1.0183321127802147</v>
      </c>
      <c r="L12" s="217">
        <f t="shared" ref="L12" si="7">K12/$K$13</f>
        <v>1.0173104257550185</v>
      </c>
      <c r="M12" s="217">
        <f t="shared" ref="M12:M20" si="8">$M$5*C12^3+$M$6*C12^2+$M$7*C12+$M$8</f>
        <v>1.0374061654716424</v>
      </c>
      <c r="N12" s="217">
        <f t="shared" ref="N12" si="9">M12/$M$13</f>
        <v>1.0366521853451116</v>
      </c>
    </row>
    <row r="13" spans="1:14">
      <c r="A13" s="217">
        <f>IF特性!C32</f>
        <v>60</v>
      </c>
      <c r="B13" s="680">
        <f>IF特性!L32</f>
        <v>0.3800290816875817</v>
      </c>
      <c r="C13" s="677">
        <f>Tc特性!C30</f>
        <v>25</v>
      </c>
      <c r="D13" s="677"/>
      <c r="E13" s="217">
        <f t="shared" si="0"/>
        <v>0.92085131219576666</v>
      </c>
      <c r="F13" s="217">
        <f t="shared" si="1"/>
        <v>0.92141385921516483</v>
      </c>
      <c r="G13" s="217">
        <f t="shared" si="2"/>
        <v>0.37940913730683878</v>
      </c>
      <c r="H13" s="217">
        <f t="shared" si="3"/>
        <v>0.37926984431132815</v>
      </c>
      <c r="I13" s="217">
        <f t="shared" si="4"/>
        <v>60.247227659402341</v>
      </c>
      <c r="J13" s="217">
        <f t="shared" si="5"/>
        <v>60.319962255368608</v>
      </c>
      <c r="K13" s="269">
        <f t="shared" si="6"/>
        <v>1.0010043021277777</v>
      </c>
      <c r="L13" s="269">
        <f>K13/$K$13</f>
        <v>1</v>
      </c>
      <c r="M13" s="269">
        <f t="shared" si="8"/>
        <v>1.0007273221792128</v>
      </c>
      <c r="N13" s="269">
        <f>M13/$M$13</f>
        <v>1</v>
      </c>
    </row>
    <row r="14" spans="1:14">
      <c r="A14" s="217">
        <f>IF特性!C33</f>
        <v>90</v>
      </c>
      <c r="B14" s="680">
        <f>IF特性!L33</f>
        <v>0.55454322021076963</v>
      </c>
      <c r="C14" s="217">
        <f>Tc特性!C31</f>
        <v>45</v>
      </c>
      <c r="E14" s="217">
        <f t="shared" si="0"/>
        <v>0.94276135361473801</v>
      </c>
      <c r="F14" s="217">
        <f t="shared" si="1"/>
        <v>0.94333728545352225</v>
      </c>
      <c r="G14" s="217">
        <f t="shared" si="2"/>
        <v>0.55380653071860164</v>
      </c>
      <c r="H14" s="217">
        <f t="shared" si="3"/>
        <v>0.55360321096951837</v>
      </c>
      <c r="I14" s="217">
        <f t="shared" si="4"/>
        <v>90.257911479786912</v>
      </c>
      <c r="J14" s="217">
        <f t="shared" si="5"/>
        <v>90.366877036863741</v>
      </c>
      <c r="K14" s="217">
        <f t="shared" si="6"/>
        <v>0.98847863154193016</v>
      </c>
      <c r="L14" s="217">
        <f t="shared" ref="L14:L20" si="10">K14/$K$13</f>
        <v>0.98748689635077247</v>
      </c>
      <c r="M14" s="217">
        <f t="shared" si="8"/>
        <v>0.96545548773781042</v>
      </c>
      <c r="N14" s="217">
        <f t="shared" ref="N14:N20" si="11">M14/$M$13</f>
        <v>0.96475380090093532</v>
      </c>
    </row>
    <row r="15" spans="1:14">
      <c r="A15" s="217">
        <f>IF特性!C34</f>
        <v>120</v>
      </c>
      <c r="B15" s="680">
        <f>IF特性!L34</f>
        <v>0.7196920375007495</v>
      </c>
      <c r="C15" s="217">
        <f>Tc特性!C32</f>
        <v>65</v>
      </c>
      <c r="E15" s="217">
        <f t="shared" si="0"/>
        <v>0.96366775366787505</v>
      </c>
      <c r="F15" s="217">
        <f t="shared" si="1"/>
        <v>0.96425645720267628</v>
      </c>
      <c r="G15" s="217">
        <f t="shared" si="2"/>
        <v>0.71919922841184247</v>
      </c>
      <c r="H15" s="217">
        <f t="shared" si="3"/>
        <v>0.71893518781544163</v>
      </c>
      <c r="I15" s="217">
        <f t="shared" si="4"/>
        <v>120.10673712474976</v>
      </c>
      <c r="J15" s="217">
        <f t="shared" si="5"/>
        <v>120.25173823661807</v>
      </c>
      <c r="K15" s="217">
        <f t="shared" si="6"/>
        <v>0.97714103023261811</v>
      </c>
      <c r="L15" s="217">
        <f t="shared" si="10"/>
        <v>0.97616066999468953</v>
      </c>
      <c r="M15" s="217">
        <f t="shared" si="8"/>
        <v>0.92490380391124982</v>
      </c>
      <c r="N15" s="217">
        <f t="shared" si="11"/>
        <v>0.92423158977727571</v>
      </c>
    </row>
    <row r="16" spans="1:14">
      <c r="A16" s="217">
        <f>IF特性!C35</f>
        <v>150</v>
      </c>
      <c r="B16" s="680">
        <f>IF特性!L35</f>
        <v>0.87608965715375064</v>
      </c>
      <c r="C16" s="217">
        <f>Tc特性!C33</f>
        <v>66.3</v>
      </c>
      <c r="E16" s="217">
        <f t="shared" si="0"/>
        <v>0.98357051235517778</v>
      </c>
      <c r="F16" s="217">
        <f t="shared" si="1"/>
        <v>0.98417137446262704</v>
      </c>
      <c r="G16" s="217">
        <f t="shared" si="2"/>
        <v>0.87598958636106228</v>
      </c>
      <c r="H16" s="217">
        <f t="shared" si="3"/>
        <v>0.87566798310609995</v>
      </c>
      <c r="I16" s="217">
        <f t="shared" si="4"/>
        <v>149.92880132811226</v>
      </c>
      <c r="J16" s="217">
        <f t="shared" si="5"/>
        <v>150.10980568651954</v>
      </c>
      <c r="K16" s="217">
        <f t="shared" si="6"/>
        <v>0.97644520819534697</v>
      </c>
      <c r="L16" s="217">
        <f t="shared" si="10"/>
        <v>0.97546554607185321</v>
      </c>
      <c r="M16" s="217">
        <f t="shared" si="8"/>
        <v>0.92208497925726163</v>
      </c>
      <c r="N16" s="217">
        <f t="shared" si="11"/>
        <v>0.92141481382691015</v>
      </c>
    </row>
    <row r="17" spans="1:14">
      <c r="A17" s="677">
        <f>IF特性!C36</f>
        <v>175</v>
      </c>
      <c r="B17" s="681">
        <f>IF特性!L36</f>
        <v>1</v>
      </c>
      <c r="C17" s="217">
        <f>Tc特性!C34</f>
        <v>85</v>
      </c>
      <c r="E17" s="269">
        <f t="shared" si="0"/>
        <v>0.99938947410680656</v>
      </c>
      <c r="F17" s="269">
        <f>E17/$E$17</f>
        <v>1</v>
      </c>
      <c r="G17" s="269">
        <f t="shared" si="2"/>
        <v>1.0003672662026784</v>
      </c>
      <c r="H17" s="269">
        <f t="shared" si="3"/>
        <v>1</v>
      </c>
      <c r="I17" s="269">
        <f t="shared" si="4"/>
        <v>174.78898272117263</v>
      </c>
      <c r="J17" s="684">
        <f t="shared" si="5"/>
        <v>175</v>
      </c>
      <c r="K17" s="217">
        <f t="shared" si="6"/>
        <v>0.96699149819984143</v>
      </c>
      <c r="L17" s="217">
        <f t="shared" si="10"/>
        <v>0.96602132093175108</v>
      </c>
      <c r="M17" s="217">
        <f t="shared" si="8"/>
        <v>0.87906318700653041</v>
      </c>
      <c r="N17" s="217">
        <f t="shared" si="11"/>
        <v>0.87842428953799023</v>
      </c>
    </row>
    <row r="18" spans="1:14">
      <c r="A18" s="217">
        <f>IF特性!C37</f>
        <v>210</v>
      </c>
      <c r="B18" s="680">
        <f>IF特性!L37</f>
        <v>1.1645672289260369</v>
      </c>
      <c r="C18" s="217">
        <f>Tc特性!C35</f>
        <v>105</v>
      </c>
      <c r="E18" s="217">
        <f t="shared" si="0"/>
        <v>1.0203651056322802</v>
      </c>
      <c r="F18" s="217">
        <f t="shared" ref="F18:F23" si="12">E18/$E$17</f>
        <v>1.0209884455149183</v>
      </c>
      <c r="G18" s="217">
        <f t="shared" si="2"/>
        <v>1.1653727069254411</v>
      </c>
      <c r="H18" s="217">
        <f t="shared" si="3"/>
        <v>1.1649448620496266</v>
      </c>
      <c r="I18" s="217">
        <f t="shared" si="4"/>
        <v>209.70812001376902</v>
      </c>
      <c r="J18" s="217">
        <f t="shared" si="5"/>
        <v>209.961294076255</v>
      </c>
      <c r="K18" s="217">
        <f t="shared" si="6"/>
        <v>0.9580300354436001</v>
      </c>
      <c r="L18" s="217">
        <f t="shared" si="10"/>
        <v>0.957068849161957</v>
      </c>
      <c r="M18" s="217">
        <f t="shared" si="8"/>
        <v>0.82792455333065185</v>
      </c>
      <c r="N18" s="217">
        <f t="shared" si="11"/>
        <v>0.82732282309204808</v>
      </c>
    </row>
    <row r="19" spans="1:14">
      <c r="A19" s="217">
        <f>IF特性!C38</f>
        <v>240</v>
      </c>
      <c r="B19" s="680">
        <f>IF特性!L38</f>
        <v>1.2984864971030525</v>
      </c>
      <c r="C19" s="217">
        <f>Tc特性!C36</f>
        <v>125</v>
      </c>
      <c r="E19" s="217">
        <f t="shared" si="0"/>
        <v>1.0372569402220801</v>
      </c>
      <c r="F19" s="217">
        <f t="shared" si="12"/>
        <v>1.0378905993072594</v>
      </c>
      <c r="G19" s="217">
        <f t="shared" si="2"/>
        <v>1.2987701814896013</v>
      </c>
      <c r="H19" s="217">
        <f t="shared" si="3"/>
        <v>1.2982933622164976</v>
      </c>
      <c r="I19" s="217">
        <f t="shared" si="4"/>
        <v>239.89897663472985</v>
      </c>
      <c r="J19" s="217">
        <f t="shared" si="5"/>
        <v>240.18859917532032</v>
      </c>
      <c r="K19" s="217">
        <f t="shared" si="6"/>
        <v>0.95025664196389414</v>
      </c>
      <c r="L19" s="217">
        <f t="shared" si="10"/>
        <v>0.94930325468530741</v>
      </c>
      <c r="M19" s="217">
        <f t="shared" si="8"/>
        <v>0.77147881919061334</v>
      </c>
      <c r="N19" s="217">
        <f t="shared" si="11"/>
        <v>0.7709181133484182</v>
      </c>
    </row>
    <row r="20" spans="1:14">
      <c r="A20" s="217">
        <f>IF特性!C39</f>
        <v>270</v>
      </c>
      <c r="B20" s="680">
        <f>IF特性!L39</f>
        <v>1.4242638661222202</v>
      </c>
      <c r="C20" s="217">
        <f>Tc特性!C37</f>
        <v>135</v>
      </c>
      <c r="E20" s="217">
        <f t="shared" si="0"/>
        <v>1.0531451334460455</v>
      </c>
      <c r="F20" s="217">
        <f t="shared" si="12"/>
        <v>1.0537884986103967</v>
      </c>
      <c r="G20" s="217">
        <f t="shared" si="2"/>
        <v>1.4251747402077433</v>
      </c>
      <c r="H20" s="217">
        <f t="shared" si="3"/>
        <v>1.4246515138561093</v>
      </c>
      <c r="I20" s="217">
        <f t="shared" si="4"/>
        <v>269.84694224227894</v>
      </c>
      <c r="J20" s="217">
        <f t="shared" si="5"/>
        <v>270.17272002624082</v>
      </c>
      <c r="K20" s="217">
        <f t="shared" si="6"/>
        <v>0.9468154712027419</v>
      </c>
      <c r="L20" s="217">
        <f t="shared" si="10"/>
        <v>0.94586553643191174</v>
      </c>
      <c r="M20" s="217">
        <f t="shared" si="8"/>
        <v>0.74126295079247151</v>
      </c>
      <c r="N20" s="217">
        <f t="shared" si="11"/>
        <v>0.74072420564902319</v>
      </c>
    </row>
    <row r="21" spans="1:14">
      <c r="A21" s="217">
        <f>IF特性!C40</f>
        <v>300</v>
      </c>
      <c r="B21" s="680">
        <f>IF特性!L40</f>
        <v>1.5453015955354166</v>
      </c>
      <c r="E21" s="217">
        <f t="shared" si="0"/>
        <v>1.0680296853041766</v>
      </c>
      <c r="F21" s="217">
        <f t="shared" si="12"/>
        <v>1.0686821434243305</v>
      </c>
      <c r="G21" s="217">
        <f t="shared" si="2"/>
        <v>1.5449887390543675</v>
      </c>
      <c r="H21" s="217">
        <f t="shared" si="3"/>
        <v>1.5444215252254632</v>
      </c>
      <c r="I21" s="217">
        <f t="shared" si="4"/>
        <v>300.23978150151231</v>
      </c>
      <c r="J21" s="217">
        <f t="shared" si="5"/>
        <v>300.60225161090841</v>
      </c>
    </row>
    <row r="22" spans="1:14">
      <c r="A22" s="217">
        <f>IF特性!C41</f>
        <v>350</v>
      </c>
      <c r="B22" s="680">
        <f>IF特性!L41</f>
        <v>1.7332250284280661</v>
      </c>
      <c r="E22" s="217">
        <f t="shared" si="0"/>
        <v>1.0906069575880968</v>
      </c>
      <c r="F22" s="217">
        <f t="shared" si="12"/>
        <v>1.0912732081382135</v>
      </c>
      <c r="G22" s="217">
        <f t="shared" si="2"/>
        <v>1.7311258672248764</v>
      </c>
      <c r="H22" s="217">
        <f t="shared" si="3"/>
        <v>1.7304903166175205</v>
      </c>
      <c r="I22" s="217">
        <f t="shared" si="4"/>
        <v>350.74493611450572</v>
      </c>
      <c r="J22" s="217">
        <f t="shared" si="5"/>
        <v>351.16837951939942</v>
      </c>
    </row>
    <row r="23" spans="1:14">
      <c r="A23" s="217">
        <f>IF特性!C42</f>
        <v>400</v>
      </c>
      <c r="B23" s="680">
        <f>IF特性!L42</f>
        <v>1.9008580811373752</v>
      </c>
      <c r="E23" s="217">
        <f t="shared" si="0"/>
        <v>1.1103963371891437</v>
      </c>
      <c r="F23" s="217">
        <f t="shared" si="12"/>
        <v>1.1110746770487534</v>
      </c>
      <c r="G23" s="217">
        <f t="shared" si="2"/>
        <v>1.9019362992671005</v>
      </c>
      <c r="H23" s="217">
        <f t="shared" si="3"/>
        <v>1.9012380387922057</v>
      </c>
      <c r="I23" s="217">
        <f t="shared" si="4"/>
        <v>399.49396024546661</v>
      </c>
      <c r="J23" s="217">
        <f t="shared" si="5"/>
        <v>399.97625682438456</v>
      </c>
    </row>
  </sheetData>
  <sheetProtection password="A7EA" sheet="1" objects="1" scenarios="1"/>
  <phoneticPr fontId="7"/>
  <pageMargins left="0.7" right="0.7" top="0.75" bottom="0.75" header="0.3" footer="0.3"/>
  <ignoredErrors>
    <ignoredError sqref="G12:G23 I12:I23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2:K40"/>
  <sheetViews>
    <sheetView topLeftCell="A7" zoomScale="85" zoomScaleNormal="85" workbookViewId="0">
      <selection activeCell="F20" sqref="F20"/>
    </sheetView>
  </sheetViews>
  <sheetFormatPr defaultRowHeight="15.75"/>
  <cols>
    <col min="1" max="2" width="9" style="217"/>
    <col min="3" max="11" width="15.875" style="217" customWidth="1"/>
    <col min="12" max="13" width="15.875" style="217" bestFit="1" customWidth="1"/>
    <col min="14" max="14" width="9.125" style="217" bestFit="1" customWidth="1"/>
    <col min="15" max="15" width="9.375" style="217" bestFit="1" customWidth="1"/>
    <col min="16" max="258" width="9" style="217"/>
    <col min="259" max="259" width="15.5" style="217" customWidth="1"/>
    <col min="260" max="261" width="15.875" style="217" bestFit="1" customWidth="1"/>
    <col min="262" max="262" width="15.125" style="217" customWidth="1"/>
    <col min="263" max="263" width="13.75" style="217" customWidth="1"/>
    <col min="264" max="264" width="9" style="217"/>
    <col min="265" max="265" width="17.125" style="217" bestFit="1" customWidth="1"/>
    <col min="266" max="266" width="15.5" style="217" customWidth="1"/>
    <col min="267" max="267" width="9" style="217"/>
    <col min="268" max="269" width="15.875" style="217" bestFit="1" customWidth="1"/>
    <col min="270" max="270" width="9.125" style="217" bestFit="1" customWidth="1"/>
    <col min="271" max="271" width="9.375" style="217" bestFit="1" customWidth="1"/>
    <col min="272" max="514" width="9" style="217"/>
    <col min="515" max="515" width="15.5" style="217" customWidth="1"/>
    <col min="516" max="517" width="15.875" style="217" bestFit="1" customWidth="1"/>
    <col min="518" max="518" width="15.125" style="217" customWidth="1"/>
    <col min="519" max="519" width="13.75" style="217" customWidth="1"/>
    <col min="520" max="520" width="9" style="217"/>
    <col min="521" max="521" width="17.125" style="217" bestFit="1" customWidth="1"/>
    <col min="522" max="522" width="15.5" style="217" customWidth="1"/>
    <col min="523" max="523" width="9" style="217"/>
    <col min="524" max="525" width="15.875" style="217" bestFit="1" customWidth="1"/>
    <col min="526" max="526" width="9.125" style="217" bestFit="1" customWidth="1"/>
    <col min="527" max="527" width="9.375" style="217" bestFit="1" customWidth="1"/>
    <col min="528" max="770" width="9" style="217"/>
    <col min="771" max="771" width="15.5" style="217" customWidth="1"/>
    <col min="772" max="773" width="15.875" style="217" bestFit="1" customWidth="1"/>
    <col min="774" max="774" width="15.125" style="217" customWidth="1"/>
    <col min="775" max="775" width="13.75" style="217" customWidth="1"/>
    <col min="776" max="776" width="9" style="217"/>
    <col min="777" max="777" width="17.125" style="217" bestFit="1" customWidth="1"/>
    <col min="778" max="778" width="15.5" style="217" customWidth="1"/>
    <col min="779" max="779" width="9" style="217"/>
    <col min="780" max="781" width="15.875" style="217" bestFit="1" customWidth="1"/>
    <col min="782" max="782" width="9.125" style="217" bestFit="1" customWidth="1"/>
    <col min="783" max="783" width="9.375" style="217" bestFit="1" customWidth="1"/>
    <col min="784" max="1026" width="9" style="217"/>
    <col min="1027" max="1027" width="15.5" style="217" customWidth="1"/>
    <col min="1028" max="1029" width="15.875" style="217" bestFit="1" customWidth="1"/>
    <col min="1030" max="1030" width="15.125" style="217" customWidth="1"/>
    <col min="1031" max="1031" width="13.75" style="217" customWidth="1"/>
    <col min="1032" max="1032" width="9" style="217"/>
    <col min="1033" max="1033" width="17.125" style="217" bestFit="1" customWidth="1"/>
    <col min="1034" max="1034" width="15.5" style="217" customWidth="1"/>
    <col min="1035" max="1035" width="9" style="217"/>
    <col min="1036" max="1037" width="15.875" style="217" bestFit="1" customWidth="1"/>
    <col min="1038" max="1038" width="9.125" style="217" bestFit="1" customWidth="1"/>
    <col min="1039" max="1039" width="9.375" style="217" bestFit="1" customWidth="1"/>
    <col min="1040" max="1282" width="9" style="217"/>
    <col min="1283" max="1283" width="15.5" style="217" customWidth="1"/>
    <col min="1284" max="1285" width="15.875" style="217" bestFit="1" customWidth="1"/>
    <col min="1286" max="1286" width="15.125" style="217" customWidth="1"/>
    <col min="1287" max="1287" width="13.75" style="217" customWidth="1"/>
    <col min="1288" max="1288" width="9" style="217"/>
    <col min="1289" max="1289" width="17.125" style="217" bestFit="1" customWidth="1"/>
    <col min="1290" max="1290" width="15.5" style="217" customWidth="1"/>
    <col min="1291" max="1291" width="9" style="217"/>
    <col min="1292" max="1293" width="15.875" style="217" bestFit="1" customWidth="1"/>
    <col min="1294" max="1294" width="9.125" style="217" bestFit="1" customWidth="1"/>
    <col min="1295" max="1295" width="9.375" style="217" bestFit="1" customWidth="1"/>
    <col min="1296" max="1538" width="9" style="217"/>
    <col min="1539" max="1539" width="15.5" style="217" customWidth="1"/>
    <col min="1540" max="1541" width="15.875" style="217" bestFit="1" customWidth="1"/>
    <col min="1542" max="1542" width="15.125" style="217" customWidth="1"/>
    <col min="1543" max="1543" width="13.75" style="217" customWidth="1"/>
    <col min="1544" max="1544" width="9" style="217"/>
    <col min="1545" max="1545" width="17.125" style="217" bestFit="1" customWidth="1"/>
    <col min="1546" max="1546" width="15.5" style="217" customWidth="1"/>
    <col min="1547" max="1547" width="9" style="217"/>
    <col min="1548" max="1549" width="15.875" style="217" bestFit="1" customWidth="1"/>
    <col min="1550" max="1550" width="9.125" style="217" bestFit="1" customWidth="1"/>
    <col min="1551" max="1551" width="9.375" style="217" bestFit="1" customWidth="1"/>
    <col min="1552" max="1794" width="9" style="217"/>
    <col min="1795" max="1795" width="15.5" style="217" customWidth="1"/>
    <col min="1796" max="1797" width="15.875" style="217" bestFit="1" customWidth="1"/>
    <col min="1798" max="1798" width="15.125" style="217" customWidth="1"/>
    <col min="1799" max="1799" width="13.75" style="217" customWidth="1"/>
    <col min="1800" max="1800" width="9" style="217"/>
    <col min="1801" max="1801" width="17.125" style="217" bestFit="1" customWidth="1"/>
    <col min="1802" max="1802" width="15.5" style="217" customWidth="1"/>
    <col min="1803" max="1803" width="9" style="217"/>
    <col min="1804" max="1805" width="15.875" style="217" bestFit="1" customWidth="1"/>
    <col min="1806" max="1806" width="9.125" style="217" bestFit="1" customWidth="1"/>
    <col min="1807" max="1807" width="9.375" style="217" bestFit="1" customWidth="1"/>
    <col min="1808" max="2050" width="9" style="217"/>
    <col min="2051" max="2051" width="15.5" style="217" customWidth="1"/>
    <col min="2052" max="2053" width="15.875" style="217" bestFit="1" customWidth="1"/>
    <col min="2054" max="2054" width="15.125" style="217" customWidth="1"/>
    <col min="2055" max="2055" width="13.75" style="217" customWidth="1"/>
    <col min="2056" max="2056" width="9" style="217"/>
    <col min="2057" max="2057" width="17.125" style="217" bestFit="1" customWidth="1"/>
    <col min="2058" max="2058" width="15.5" style="217" customWidth="1"/>
    <col min="2059" max="2059" width="9" style="217"/>
    <col min="2060" max="2061" width="15.875" style="217" bestFit="1" customWidth="1"/>
    <col min="2062" max="2062" width="9.125" style="217" bestFit="1" customWidth="1"/>
    <col min="2063" max="2063" width="9.375" style="217" bestFit="1" customWidth="1"/>
    <col min="2064" max="2306" width="9" style="217"/>
    <col min="2307" max="2307" width="15.5" style="217" customWidth="1"/>
    <col min="2308" max="2309" width="15.875" style="217" bestFit="1" customWidth="1"/>
    <col min="2310" max="2310" width="15.125" style="217" customWidth="1"/>
    <col min="2311" max="2311" width="13.75" style="217" customWidth="1"/>
    <col min="2312" max="2312" width="9" style="217"/>
    <col min="2313" max="2313" width="17.125" style="217" bestFit="1" customWidth="1"/>
    <col min="2314" max="2314" width="15.5" style="217" customWidth="1"/>
    <col min="2315" max="2315" width="9" style="217"/>
    <col min="2316" max="2317" width="15.875" style="217" bestFit="1" customWidth="1"/>
    <col min="2318" max="2318" width="9.125" style="217" bestFit="1" customWidth="1"/>
    <col min="2319" max="2319" width="9.375" style="217" bestFit="1" customWidth="1"/>
    <col min="2320" max="2562" width="9" style="217"/>
    <col min="2563" max="2563" width="15.5" style="217" customWidth="1"/>
    <col min="2564" max="2565" width="15.875" style="217" bestFit="1" customWidth="1"/>
    <col min="2566" max="2566" width="15.125" style="217" customWidth="1"/>
    <col min="2567" max="2567" width="13.75" style="217" customWidth="1"/>
    <col min="2568" max="2568" width="9" style="217"/>
    <col min="2569" max="2569" width="17.125" style="217" bestFit="1" customWidth="1"/>
    <col min="2570" max="2570" width="15.5" style="217" customWidth="1"/>
    <col min="2571" max="2571" width="9" style="217"/>
    <col min="2572" max="2573" width="15.875" style="217" bestFit="1" customWidth="1"/>
    <col min="2574" max="2574" width="9.125" style="217" bestFit="1" customWidth="1"/>
    <col min="2575" max="2575" width="9.375" style="217" bestFit="1" customWidth="1"/>
    <col min="2576" max="2818" width="9" style="217"/>
    <col min="2819" max="2819" width="15.5" style="217" customWidth="1"/>
    <col min="2820" max="2821" width="15.875" style="217" bestFit="1" customWidth="1"/>
    <col min="2822" max="2822" width="15.125" style="217" customWidth="1"/>
    <col min="2823" max="2823" width="13.75" style="217" customWidth="1"/>
    <col min="2824" max="2824" width="9" style="217"/>
    <col min="2825" max="2825" width="17.125" style="217" bestFit="1" customWidth="1"/>
    <col min="2826" max="2826" width="15.5" style="217" customWidth="1"/>
    <col min="2827" max="2827" width="9" style="217"/>
    <col min="2828" max="2829" width="15.875" style="217" bestFit="1" customWidth="1"/>
    <col min="2830" max="2830" width="9.125" style="217" bestFit="1" customWidth="1"/>
    <col min="2831" max="2831" width="9.375" style="217" bestFit="1" customWidth="1"/>
    <col min="2832" max="3074" width="9" style="217"/>
    <col min="3075" max="3075" width="15.5" style="217" customWidth="1"/>
    <col min="3076" max="3077" width="15.875" style="217" bestFit="1" customWidth="1"/>
    <col min="3078" max="3078" width="15.125" style="217" customWidth="1"/>
    <col min="3079" max="3079" width="13.75" style="217" customWidth="1"/>
    <col min="3080" max="3080" width="9" style="217"/>
    <col min="3081" max="3081" width="17.125" style="217" bestFit="1" customWidth="1"/>
    <col min="3082" max="3082" width="15.5" style="217" customWidth="1"/>
    <col min="3083" max="3083" width="9" style="217"/>
    <col min="3084" max="3085" width="15.875" style="217" bestFit="1" customWidth="1"/>
    <col min="3086" max="3086" width="9.125" style="217" bestFit="1" customWidth="1"/>
    <col min="3087" max="3087" width="9.375" style="217" bestFit="1" customWidth="1"/>
    <col min="3088" max="3330" width="9" style="217"/>
    <col min="3331" max="3331" width="15.5" style="217" customWidth="1"/>
    <col min="3332" max="3333" width="15.875" style="217" bestFit="1" customWidth="1"/>
    <col min="3334" max="3334" width="15.125" style="217" customWidth="1"/>
    <col min="3335" max="3335" width="13.75" style="217" customWidth="1"/>
    <col min="3336" max="3336" width="9" style="217"/>
    <col min="3337" max="3337" width="17.125" style="217" bestFit="1" customWidth="1"/>
    <col min="3338" max="3338" width="15.5" style="217" customWidth="1"/>
    <col min="3339" max="3339" width="9" style="217"/>
    <col min="3340" max="3341" width="15.875" style="217" bestFit="1" customWidth="1"/>
    <col min="3342" max="3342" width="9.125" style="217" bestFit="1" customWidth="1"/>
    <col min="3343" max="3343" width="9.375" style="217" bestFit="1" customWidth="1"/>
    <col min="3344" max="3586" width="9" style="217"/>
    <col min="3587" max="3587" width="15.5" style="217" customWidth="1"/>
    <col min="3588" max="3589" width="15.875" style="217" bestFit="1" customWidth="1"/>
    <col min="3590" max="3590" width="15.125" style="217" customWidth="1"/>
    <col min="3591" max="3591" width="13.75" style="217" customWidth="1"/>
    <col min="3592" max="3592" width="9" style="217"/>
    <col min="3593" max="3593" width="17.125" style="217" bestFit="1" customWidth="1"/>
    <col min="3594" max="3594" width="15.5" style="217" customWidth="1"/>
    <col min="3595" max="3595" width="9" style="217"/>
    <col min="3596" max="3597" width="15.875" style="217" bestFit="1" customWidth="1"/>
    <col min="3598" max="3598" width="9.125" style="217" bestFit="1" customWidth="1"/>
    <col min="3599" max="3599" width="9.375" style="217" bestFit="1" customWidth="1"/>
    <col min="3600" max="3842" width="9" style="217"/>
    <col min="3843" max="3843" width="15.5" style="217" customWidth="1"/>
    <col min="3844" max="3845" width="15.875" style="217" bestFit="1" customWidth="1"/>
    <col min="3846" max="3846" width="15.125" style="217" customWidth="1"/>
    <col min="3847" max="3847" width="13.75" style="217" customWidth="1"/>
    <col min="3848" max="3848" width="9" style="217"/>
    <col min="3849" max="3849" width="17.125" style="217" bestFit="1" customWidth="1"/>
    <col min="3850" max="3850" width="15.5" style="217" customWidth="1"/>
    <col min="3851" max="3851" width="9" style="217"/>
    <col min="3852" max="3853" width="15.875" style="217" bestFit="1" customWidth="1"/>
    <col min="3854" max="3854" width="9.125" style="217" bestFit="1" customWidth="1"/>
    <col min="3855" max="3855" width="9.375" style="217" bestFit="1" customWidth="1"/>
    <col min="3856" max="4098" width="9" style="217"/>
    <col min="4099" max="4099" width="15.5" style="217" customWidth="1"/>
    <col min="4100" max="4101" width="15.875" style="217" bestFit="1" customWidth="1"/>
    <col min="4102" max="4102" width="15.125" style="217" customWidth="1"/>
    <col min="4103" max="4103" width="13.75" style="217" customWidth="1"/>
    <col min="4104" max="4104" width="9" style="217"/>
    <col min="4105" max="4105" width="17.125" style="217" bestFit="1" customWidth="1"/>
    <col min="4106" max="4106" width="15.5" style="217" customWidth="1"/>
    <col min="4107" max="4107" width="9" style="217"/>
    <col min="4108" max="4109" width="15.875" style="217" bestFit="1" customWidth="1"/>
    <col min="4110" max="4110" width="9.125" style="217" bestFit="1" customWidth="1"/>
    <col min="4111" max="4111" width="9.375" style="217" bestFit="1" customWidth="1"/>
    <col min="4112" max="4354" width="9" style="217"/>
    <col min="4355" max="4355" width="15.5" style="217" customWidth="1"/>
    <col min="4356" max="4357" width="15.875" style="217" bestFit="1" customWidth="1"/>
    <col min="4358" max="4358" width="15.125" style="217" customWidth="1"/>
    <col min="4359" max="4359" width="13.75" style="217" customWidth="1"/>
    <col min="4360" max="4360" width="9" style="217"/>
    <col min="4361" max="4361" width="17.125" style="217" bestFit="1" customWidth="1"/>
    <col min="4362" max="4362" width="15.5" style="217" customWidth="1"/>
    <col min="4363" max="4363" width="9" style="217"/>
    <col min="4364" max="4365" width="15.875" style="217" bestFit="1" customWidth="1"/>
    <col min="4366" max="4366" width="9.125" style="217" bestFit="1" customWidth="1"/>
    <col min="4367" max="4367" width="9.375" style="217" bestFit="1" customWidth="1"/>
    <col min="4368" max="4610" width="9" style="217"/>
    <col min="4611" max="4611" width="15.5" style="217" customWidth="1"/>
    <col min="4612" max="4613" width="15.875" style="217" bestFit="1" customWidth="1"/>
    <col min="4614" max="4614" width="15.125" style="217" customWidth="1"/>
    <col min="4615" max="4615" width="13.75" style="217" customWidth="1"/>
    <col min="4616" max="4616" width="9" style="217"/>
    <col min="4617" max="4617" width="17.125" style="217" bestFit="1" customWidth="1"/>
    <col min="4618" max="4618" width="15.5" style="217" customWidth="1"/>
    <col min="4619" max="4619" width="9" style="217"/>
    <col min="4620" max="4621" width="15.875" style="217" bestFit="1" customWidth="1"/>
    <col min="4622" max="4622" width="9.125" style="217" bestFit="1" customWidth="1"/>
    <col min="4623" max="4623" width="9.375" style="217" bestFit="1" customWidth="1"/>
    <col min="4624" max="4866" width="9" style="217"/>
    <col min="4867" max="4867" width="15.5" style="217" customWidth="1"/>
    <col min="4868" max="4869" width="15.875" style="217" bestFit="1" customWidth="1"/>
    <col min="4870" max="4870" width="15.125" style="217" customWidth="1"/>
    <col min="4871" max="4871" width="13.75" style="217" customWidth="1"/>
    <col min="4872" max="4872" width="9" style="217"/>
    <col min="4873" max="4873" width="17.125" style="217" bestFit="1" customWidth="1"/>
    <col min="4874" max="4874" width="15.5" style="217" customWidth="1"/>
    <col min="4875" max="4875" width="9" style="217"/>
    <col min="4876" max="4877" width="15.875" style="217" bestFit="1" customWidth="1"/>
    <col min="4878" max="4878" width="9.125" style="217" bestFit="1" customWidth="1"/>
    <col min="4879" max="4879" width="9.375" style="217" bestFit="1" customWidth="1"/>
    <col min="4880" max="5122" width="9" style="217"/>
    <col min="5123" max="5123" width="15.5" style="217" customWidth="1"/>
    <col min="5124" max="5125" width="15.875" style="217" bestFit="1" customWidth="1"/>
    <col min="5126" max="5126" width="15.125" style="217" customWidth="1"/>
    <col min="5127" max="5127" width="13.75" style="217" customWidth="1"/>
    <col min="5128" max="5128" width="9" style="217"/>
    <col min="5129" max="5129" width="17.125" style="217" bestFit="1" customWidth="1"/>
    <col min="5130" max="5130" width="15.5" style="217" customWidth="1"/>
    <col min="5131" max="5131" width="9" style="217"/>
    <col min="5132" max="5133" width="15.875" style="217" bestFit="1" customWidth="1"/>
    <col min="5134" max="5134" width="9.125" style="217" bestFit="1" customWidth="1"/>
    <col min="5135" max="5135" width="9.375" style="217" bestFit="1" customWidth="1"/>
    <col min="5136" max="5378" width="9" style="217"/>
    <col min="5379" max="5379" width="15.5" style="217" customWidth="1"/>
    <col min="5380" max="5381" width="15.875" style="217" bestFit="1" customWidth="1"/>
    <col min="5382" max="5382" width="15.125" style="217" customWidth="1"/>
    <col min="5383" max="5383" width="13.75" style="217" customWidth="1"/>
    <col min="5384" max="5384" width="9" style="217"/>
    <col min="5385" max="5385" width="17.125" style="217" bestFit="1" customWidth="1"/>
    <col min="5386" max="5386" width="15.5" style="217" customWidth="1"/>
    <col min="5387" max="5387" width="9" style="217"/>
    <col min="5388" max="5389" width="15.875" style="217" bestFit="1" customWidth="1"/>
    <col min="5390" max="5390" width="9.125" style="217" bestFit="1" customWidth="1"/>
    <col min="5391" max="5391" width="9.375" style="217" bestFit="1" customWidth="1"/>
    <col min="5392" max="5634" width="9" style="217"/>
    <col min="5635" max="5635" width="15.5" style="217" customWidth="1"/>
    <col min="5636" max="5637" width="15.875" style="217" bestFit="1" customWidth="1"/>
    <col min="5638" max="5638" width="15.125" style="217" customWidth="1"/>
    <col min="5639" max="5639" width="13.75" style="217" customWidth="1"/>
    <col min="5640" max="5640" width="9" style="217"/>
    <col min="5641" max="5641" width="17.125" style="217" bestFit="1" customWidth="1"/>
    <col min="5642" max="5642" width="15.5" style="217" customWidth="1"/>
    <col min="5643" max="5643" width="9" style="217"/>
    <col min="5644" max="5645" width="15.875" style="217" bestFit="1" customWidth="1"/>
    <col min="5646" max="5646" width="9.125" style="217" bestFit="1" customWidth="1"/>
    <col min="5647" max="5647" width="9.375" style="217" bestFit="1" customWidth="1"/>
    <col min="5648" max="5890" width="9" style="217"/>
    <col min="5891" max="5891" width="15.5" style="217" customWidth="1"/>
    <col min="5892" max="5893" width="15.875" style="217" bestFit="1" customWidth="1"/>
    <col min="5894" max="5894" width="15.125" style="217" customWidth="1"/>
    <col min="5895" max="5895" width="13.75" style="217" customWidth="1"/>
    <col min="5896" max="5896" width="9" style="217"/>
    <col min="5897" max="5897" width="17.125" style="217" bestFit="1" customWidth="1"/>
    <col min="5898" max="5898" width="15.5" style="217" customWidth="1"/>
    <col min="5899" max="5899" width="9" style="217"/>
    <col min="5900" max="5901" width="15.875" style="217" bestFit="1" customWidth="1"/>
    <col min="5902" max="5902" width="9.125" style="217" bestFit="1" customWidth="1"/>
    <col min="5903" max="5903" width="9.375" style="217" bestFit="1" customWidth="1"/>
    <col min="5904" max="6146" width="9" style="217"/>
    <col min="6147" max="6147" width="15.5" style="217" customWidth="1"/>
    <col min="6148" max="6149" width="15.875" style="217" bestFit="1" customWidth="1"/>
    <col min="6150" max="6150" width="15.125" style="217" customWidth="1"/>
    <col min="6151" max="6151" width="13.75" style="217" customWidth="1"/>
    <col min="6152" max="6152" width="9" style="217"/>
    <col min="6153" max="6153" width="17.125" style="217" bestFit="1" customWidth="1"/>
    <col min="6154" max="6154" width="15.5" style="217" customWidth="1"/>
    <col min="6155" max="6155" width="9" style="217"/>
    <col min="6156" max="6157" width="15.875" style="217" bestFit="1" customWidth="1"/>
    <col min="6158" max="6158" width="9.125" style="217" bestFit="1" customWidth="1"/>
    <col min="6159" max="6159" width="9.375" style="217" bestFit="1" customWidth="1"/>
    <col min="6160" max="6402" width="9" style="217"/>
    <col min="6403" max="6403" width="15.5" style="217" customWidth="1"/>
    <col min="6404" max="6405" width="15.875" style="217" bestFit="1" customWidth="1"/>
    <col min="6406" max="6406" width="15.125" style="217" customWidth="1"/>
    <col min="6407" max="6407" width="13.75" style="217" customWidth="1"/>
    <col min="6408" max="6408" width="9" style="217"/>
    <col min="6409" max="6409" width="17.125" style="217" bestFit="1" customWidth="1"/>
    <col min="6410" max="6410" width="15.5" style="217" customWidth="1"/>
    <col min="6411" max="6411" width="9" style="217"/>
    <col min="6412" max="6413" width="15.875" style="217" bestFit="1" customWidth="1"/>
    <col min="6414" max="6414" width="9.125" style="217" bestFit="1" customWidth="1"/>
    <col min="6415" max="6415" width="9.375" style="217" bestFit="1" customWidth="1"/>
    <col min="6416" max="6658" width="9" style="217"/>
    <col min="6659" max="6659" width="15.5" style="217" customWidth="1"/>
    <col min="6660" max="6661" width="15.875" style="217" bestFit="1" customWidth="1"/>
    <col min="6662" max="6662" width="15.125" style="217" customWidth="1"/>
    <col min="6663" max="6663" width="13.75" style="217" customWidth="1"/>
    <col min="6664" max="6664" width="9" style="217"/>
    <col min="6665" max="6665" width="17.125" style="217" bestFit="1" customWidth="1"/>
    <col min="6666" max="6666" width="15.5" style="217" customWidth="1"/>
    <col min="6667" max="6667" width="9" style="217"/>
    <col min="6668" max="6669" width="15.875" style="217" bestFit="1" customWidth="1"/>
    <col min="6670" max="6670" width="9.125" style="217" bestFit="1" customWidth="1"/>
    <col min="6671" max="6671" width="9.375" style="217" bestFit="1" customWidth="1"/>
    <col min="6672" max="6914" width="9" style="217"/>
    <col min="6915" max="6915" width="15.5" style="217" customWidth="1"/>
    <col min="6916" max="6917" width="15.875" style="217" bestFit="1" customWidth="1"/>
    <col min="6918" max="6918" width="15.125" style="217" customWidth="1"/>
    <col min="6919" max="6919" width="13.75" style="217" customWidth="1"/>
    <col min="6920" max="6920" width="9" style="217"/>
    <col min="6921" max="6921" width="17.125" style="217" bestFit="1" customWidth="1"/>
    <col min="6922" max="6922" width="15.5" style="217" customWidth="1"/>
    <col min="6923" max="6923" width="9" style="217"/>
    <col min="6924" max="6925" width="15.875" style="217" bestFit="1" customWidth="1"/>
    <col min="6926" max="6926" width="9.125" style="217" bestFit="1" customWidth="1"/>
    <col min="6927" max="6927" width="9.375" style="217" bestFit="1" customWidth="1"/>
    <col min="6928" max="7170" width="9" style="217"/>
    <col min="7171" max="7171" width="15.5" style="217" customWidth="1"/>
    <col min="7172" max="7173" width="15.875" style="217" bestFit="1" customWidth="1"/>
    <col min="7174" max="7174" width="15.125" style="217" customWidth="1"/>
    <col min="7175" max="7175" width="13.75" style="217" customWidth="1"/>
    <col min="7176" max="7176" width="9" style="217"/>
    <col min="7177" max="7177" width="17.125" style="217" bestFit="1" customWidth="1"/>
    <col min="7178" max="7178" width="15.5" style="217" customWidth="1"/>
    <col min="7179" max="7179" width="9" style="217"/>
    <col min="7180" max="7181" width="15.875" style="217" bestFit="1" customWidth="1"/>
    <col min="7182" max="7182" width="9.125" style="217" bestFit="1" customWidth="1"/>
    <col min="7183" max="7183" width="9.375" style="217" bestFit="1" customWidth="1"/>
    <col min="7184" max="7426" width="9" style="217"/>
    <col min="7427" max="7427" width="15.5" style="217" customWidth="1"/>
    <col min="7428" max="7429" width="15.875" style="217" bestFit="1" customWidth="1"/>
    <col min="7430" max="7430" width="15.125" style="217" customWidth="1"/>
    <col min="7431" max="7431" width="13.75" style="217" customWidth="1"/>
    <col min="7432" max="7432" width="9" style="217"/>
    <col min="7433" max="7433" width="17.125" style="217" bestFit="1" customWidth="1"/>
    <col min="7434" max="7434" width="15.5" style="217" customWidth="1"/>
    <col min="7435" max="7435" width="9" style="217"/>
    <col min="7436" max="7437" width="15.875" style="217" bestFit="1" customWidth="1"/>
    <col min="7438" max="7438" width="9.125" style="217" bestFit="1" customWidth="1"/>
    <col min="7439" max="7439" width="9.375" style="217" bestFit="1" customWidth="1"/>
    <col min="7440" max="7682" width="9" style="217"/>
    <col min="7683" max="7683" width="15.5" style="217" customWidth="1"/>
    <col min="7684" max="7685" width="15.875" style="217" bestFit="1" customWidth="1"/>
    <col min="7686" max="7686" width="15.125" style="217" customWidth="1"/>
    <col min="7687" max="7687" width="13.75" style="217" customWidth="1"/>
    <col min="7688" max="7688" width="9" style="217"/>
    <col min="7689" max="7689" width="17.125" style="217" bestFit="1" customWidth="1"/>
    <col min="7690" max="7690" width="15.5" style="217" customWidth="1"/>
    <col min="7691" max="7691" width="9" style="217"/>
    <col min="7692" max="7693" width="15.875" style="217" bestFit="1" customWidth="1"/>
    <col min="7694" max="7694" width="9.125" style="217" bestFit="1" customWidth="1"/>
    <col min="7695" max="7695" width="9.375" style="217" bestFit="1" customWidth="1"/>
    <col min="7696" max="7938" width="9" style="217"/>
    <col min="7939" max="7939" width="15.5" style="217" customWidth="1"/>
    <col min="7940" max="7941" width="15.875" style="217" bestFit="1" customWidth="1"/>
    <col min="7942" max="7942" width="15.125" style="217" customWidth="1"/>
    <col min="7943" max="7943" width="13.75" style="217" customWidth="1"/>
    <col min="7944" max="7944" width="9" style="217"/>
    <col min="7945" max="7945" width="17.125" style="217" bestFit="1" customWidth="1"/>
    <col min="7946" max="7946" width="15.5" style="217" customWidth="1"/>
    <col min="7947" max="7947" width="9" style="217"/>
    <col min="7948" max="7949" width="15.875" style="217" bestFit="1" customWidth="1"/>
    <col min="7950" max="7950" width="9.125" style="217" bestFit="1" customWidth="1"/>
    <col min="7951" max="7951" width="9.375" style="217" bestFit="1" customWidth="1"/>
    <col min="7952" max="8194" width="9" style="217"/>
    <col min="8195" max="8195" width="15.5" style="217" customWidth="1"/>
    <col min="8196" max="8197" width="15.875" style="217" bestFit="1" customWidth="1"/>
    <col min="8198" max="8198" width="15.125" style="217" customWidth="1"/>
    <col min="8199" max="8199" width="13.75" style="217" customWidth="1"/>
    <col min="8200" max="8200" width="9" style="217"/>
    <col min="8201" max="8201" width="17.125" style="217" bestFit="1" customWidth="1"/>
    <col min="8202" max="8202" width="15.5" style="217" customWidth="1"/>
    <col min="8203" max="8203" width="9" style="217"/>
    <col min="8204" max="8205" width="15.875" style="217" bestFit="1" customWidth="1"/>
    <col min="8206" max="8206" width="9.125" style="217" bestFit="1" customWidth="1"/>
    <col min="8207" max="8207" width="9.375" style="217" bestFit="1" customWidth="1"/>
    <col min="8208" max="8450" width="9" style="217"/>
    <col min="8451" max="8451" width="15.5" style="217" customWidth="1"/>
    <col min="8452" max="8453" width="15.875" style="217" bestFit="1" customWidth="1"/>
    <col min="8454" max="8454" width="15.125" style="217" customWidth="1"/>
    <col min="8455" max="8455" width="13.75" style="217" customWidth="1"/>
    <col min="8456" max="8456" width="9" style="217"/>
    <col min="8457" max="8457" width="17.125" style="217" bestFit="1" customWidth="1"/>
    <col min="8458" max="8458" width="15.5" style="217" customWidth="1"/>
    <col min="8459" max="8459" width="9" style="217"/>
    <col min="8460" max="8461" width="15.875" style="217" bestFit="1" customWidth="1"/>
    <col min="8462" max="8462" width="9.125" style="217" bestFit="1" customWidth="1"/>
    <col min="8463" max="8463" width="9.375" style="217" bestFit="1" customWidth="1"/>
    <col min="8464" max="8706" width="9" style="217"/>
    <col min="8707" max="8707" width="15.5" style="217" customWidth="1"/>
    <col min="8708" max="8709" width="15.875" style="217" bestFit="1" customWidth="1"/>
    <col min="8710" max="8710" width="15.125" style="217" customWidth="1"/>
    <col min="8711" max="8711" width="13.75" style="217" customWidth="1"/>
    <col min="8712" max="8712" width="9" style="217"/>
    <col min="8713" max="8713" width="17.125" style="217" bestFit="1" customWidth="1"/>
    <col min="8714" max="8714" width="15.5" style="217" customWidth="1"/>
    <col min="8715" max="8715" width="9" style="217"/>
    <col min="8716" max="8717" width="15.875" style="217" bestFit="1" customWidth="1"/>
    <col min="8718" max="8718" width="9.125" style="217" bestFit="1" customWidth="1"/>
    <col min="8719" max="8719" width="9.375" style="217" bestFit="1" customWidth="1"/>
    <col min="8720" max="8962" width="9" style="217"/>
    <col min="8963" max="8963" width="15.5" style="217" customWidth="1"/>
    <col min="8964" max="8965" width="15.875" style="217" bestFit="1" customWidth="1"/>
    <col min="8966" max="8966" width="15.125" style="217" customWidth="1"/>
    <col min="8967" max="8967" width="13.75" style="217" customWidth="1"/>
    <col min="8968" max="8968" width="9" style="217"/>
    <col min="8969" max="8969" width="17.125" style="217" bestFit="1" customWidth="1"/>
    <col min="8970" max="8970" width="15.5" style="217" customWidth="1"/>
    <col min="8971" max="8971" width="9" style="217"/>
    <col min="8972" max="8973" width="15.875" style="217" bestFit="1" customWidth="1"/>
    <col min="8974" max="8974" width="9.125" style="217" bestFit="1" customWidth="1"/>
    <col min="8975" max="8975" width="9.375" style="217" bestFit="1" customWidth="1"/>
    <col min="8976" max="9218" width="9" style="217"/>
    <col min="9219" max="9219" width="15.5" style="217" customWidth="1"/>
    <col min="9220" max="9221" width="15.875" style="217" bestFit="1" customWidth="1"/>
    <col min="9222" max="9222" width="15.125" style="217" customWidth="1"/>
    <col min="9223" max="9223" width="13.75" style="217" customWidth="1"/>
    <col min="9224" max="9224" width="9" style="217"/>
    <col min="9225" max="9225" width="17.125" style="217" bestFit="1" customWidth="1"/>
    <col min="9226" max="9226" width="15.5" style="217" customWidth="1"/>
    <col min="9227" max="9227" width="9" style="217"/>
    <col min="9228" max="9229" width="15.875" style="217" bestFit="1" customWidth="1"/>
    <col min="9230" max="9230" width="9.125" style="217" bestFit="1" customWidth="1"/>
    <col min="9231" max="9231" width="9.375" style="217" bestFit="1" customWidth="1"/>
    <col min="9232" max="9474" width="9" style="217"/>
    <col min="9475" max="9475" width="15.5" style="217" customWidth="1"/>
    <col min="9476" max="9477" width="15.875" style="217" bestFit="1" customWidth="1"/>
    <col min="9478" max="9478" width="15.125" style="217" customWidth="1"/>
    <col min="9479" max="9479" width="13.75" style="217" customWidth="1"/>
    <col min="9480" max="9480" width="9" style="217"/>
    <col min="9481" max="9481" width="17.125" style="217" bestFit="1" customWidth="1"/>
    <col min="9482" max="9482" width="15.5" style="217" customWidth="1"/>
    <col min="9483" max="9483" width="9" style="217"/>
    <col min="9484" max="9485" width="15.875" style="217" bestFit="1" customWidth="1"/>
    <col min="9486" max="9486" width="9.125" style="217" bestFit="1" customWidth="1"/>
    <col min="9487" max="9487" width="9.375" style="217" bestFit="1" customWidth="1"/>
    <col min="9488" max="9730" width="9" style="217"/>
    <col min="9731" max="9731" width="15.5" style="217" customWidth="1"/>
    <col min="9732" max="9733" width="15.875" style="217" bestFit="1" customWidth="1"/>
    <col min="9734" max="9734" width="15.125" style="217" customWidth="1"/>
    <col min="9735" max="9735" width="13.75" style="217" customWidth="1"/>
    <col min="9736" max="9736" width="9" style="217"/>
    <col min="9737" max="9737" width="17.125" style="217" bestFit="1" customWidth="1"/>
    <col min="9738" max="9738" width="15.5" style="217" customWidth="1"/>
    <col min="9739" max="9739" width="9" style="217"/>
    <col min="9740" max="9741" width="15.875" style="217" bestFit="1" customWidth="1"/>
    <col min="9742" max="9742" width="9.125" style="217" bestFit="1" customWidth="1"/>
    <col min="9743" max="9743" width="9.375" style="217" bestFit="1" customWidth="1"/>
    <col min="9744" max="9986" width="9" style="217"/>
    <col min="9987" max="9987" width="15.5" style="217" customWidth="1"/>
    <col min="9988" max="9989" width="15.875" style="217" bestFit="1" customWidth="1"/>
    <col min="9990" max="9990" width="15.125" style="217" customWidth="1"/>
    <col min="9991" max="9991" width="13.75" style="217" customWidth="1"/>
    <col min="9992" max="9992" width="9" style="217"/>
    <col min="9993" max="9993" width="17.125" style="217" bestFit="1" customWidth="1"/>
    <col min="9994" max="9994" width="15.5" style="217" customWidth="1"/>
    <col min="9995" max="9995" width="9" style="217"/>
    <col min="9996" max="9997" width="15.875" style="217" bestFit="1" customWidth="1"/>
    <col min="9998" max="9998" width="9.125" style="217" bestFit="1" customWidth="1"/>
    <col min="9999" max="9999" width="9.375" style="217" bestFit="1" customWidth="1"/>
    <col min="10000" max="10242" width="9" style="217"/>
    <col min="10243" max="10243" width="15.5" style="217" customWidth="1"/>
    <col min="10244" max="10245" width="15.875" style="217" bestFit="1" customWidth="1"/>
    <col min="10246" max="10246" width="15.125" style="217" customWidth="1"/>
    <col min="10247" max="10247" width="13.75" style="217" customWidth="1"/>
    <col min="10248" max="10248" width="9" style="217"/>
    <col min="10249" max="10249" width="17.125" style="217" bestFit="1" customWidth="1"/>
    <col min="10250" max="10250" width="15.5" style="217" customWidth="1"/>
    <col min="10251" max="10251" width="9" style="217"/>
    <col min="10252" max="10253" width="15.875" style="217" bestFit="1" customWidth="1"/>
    <col min="10254" max="10254" width="9.125" style="217" bestFit="1" customWidth="1"/>
    <col min="10255" max="10255" width="9.375" style="217" bestFit="1" customWidth="1"/>
    <col min="10256" max="10498" width="9" style="217"/>
    <col min="10499" max="10499" width="15.5" style="217" customWidth="1"/>
    <col min="10500" max="10501" width="15.875" style="217" bestFit="1" customWidth="1"/>
    <col min="10502" max="10502" width="15.125" style="217" customWidth="1"/>
    <col min="10503" max="10503" width="13.75" style="217" customWidth="1"/>
    <col min="10504" max="10504" width="9" style="217"/>
    <col min="10505" max="10505" width="17.125" style="217" bestFit="1" customWidth="1"/>
    <col min="10506" max="10506" width="15.5" style="217" customWidth="1"/>
    <col min="10507" max="10507" width="9" style="217"/>
    <col min="10508" max="10509" width="15.875" style="217" bestFit="1" customWidth="1"/>
    <col min="10510" max="10510" width="9.125" style="217" bestFit="1" customWidth="1"/>
    <col min="10511" max="10511" width="9.375" style="217" bestFit="1" customWidth="1"/>
    <col min="10512" max="10754" width="9" style="217"/>
    <col min="10755" max="10755" width="15.5" style="217" customWidth="1"/>
    <col min="10756" max="10757" width="15.875" style="217" bestFit="1" customWidth="1"/>
    <col min="10758" max="10758" width="15.125" style="217" customWidth="1"/>
    <col min="10759" max="10759" width="13.75" style="217" customWidth="1"/>
    <col min="10760" max="10760" width="9" style="217"/>
    <col min="10761" max="10761" width="17.125" style="217" bestFit="1" customWidth="1"/>
    <col min="10762" max="10762" width="15.5" style="217" customWidth="1"/>
    <col min="10763" max="10763" width="9" style="217"/>
    <col min="10764" max="10765" width="15.875" style="217" bestFit="1" customWidth="1"/>
    <col min="10766" max="10766" width="9.125" style="217" bestFit="1" customWidth="1"/>
    <col min="10767" max="10767" width="9.375" style="217" bestFit="1" customWidth="1"/>
    <col min="10768" max="11010" width="9" style="217"/>
    <col min="11011" max="11011" width="15.5" style="217" customWidth="1"/>
    <col min="11012" max="11013" width="15.875" style="217" bestFit="1" customWidth="1"/>
    <col min="11014" max="11014" width="15.125" style="217" customWidth="1"/>
    <col min="11015" max="11015" width="13.75" style="217" customWidth="1"/>
    <col min="11016" max="11016" width="9" style="217"/>
    <col min="11017" max="11017" width="17.125" style="217" bestFit="1" customWidth="1"/>
    <col min="11018" max="11018" width="15.5" style="217" customWidth="1"/>
    <col min="11019" max="11019" width="9" style="217"/>
    <col min="11020" max="11021" width="15.875" style="217" bestFit="1" customWidth="1"/>
    <col min="11022" max="11022" width="9.125" style="217" bestFit="1" customWidth="1"/>
    <col min="11023" max="11023" width="9.375" style="217" bestFit="1" customWidth="1"/>
    <col min="11024" max="11266" width="9" style="217"/>
    <col min="11267" max="11267" width="15.5" style="217" customWidth="1"/>
    <col min="11268" max="11269" width="15.875" style="217" bestFit="1" customWidth="1"/>
    <col min="11270" max="11270" width="15.125" style="217" customWidth="1"/>
    <col min="11271" max="11271" width="13.75" style="217" customWidth="1"/>
    <col min="11272" max="11272" width="9" style="217"/>
    <col min="11273" max="11273" width="17.125" style="217" bestFit="1" customWidth="1"/>
    <col min="11274" max="11274" width="15.5" style="217" customWidth="1"/>
    <col min="11275" max="11275" width="9" style="217"/>
    <col min="11276" max="11277" width="15.875" style="217" bestFit="1" customWidth="1"/>
    <col min="11278" max="11278" width="9.125" style="217" bestFit="1" customWidth="1"/>
    <col min="11279" max="11279" width="9.375" style="217" bestFit="1" customWidth="1"/>
    <col min="11280" max="11522" width="9" style="217"/>
    <col min="11523" max="11523" width="15.5" style="217" customWidth="1"/>
    <col min="11524" max="11525" width="15.875" style="217" bestFit="1" customWidth="1"/>
    <col min="11526" max="11526" width="15.125" style="217" customWidth="1"/>
    <col min="11527" max="11527" width="13.75" style="217" customWidth="1"/>
    <col min="11528" max="11528" width="9" style="217"/>
    <col min="11529" max="11529" width="17.125" style="217" bestFit="1" customWidth="1"/>
    <col min="11530" max="11530" width="15.5" style="217" customWidth="1"/>
    <col min="11531" max="11531" width="9" style="217"/>
    <col min="11532" max="11533" width="15.875" style="217" bestFit="1" customWidth="1"/>
    <col min="11534" max="11534" width="9.125" style="217" bestFit="1" customWidth="1"/>
    <col min="11535" max="11535" width="9.375" style="217" bestFit="1" customWidth="1"/>
    <col min="11536" max="11778" width="9" style="217"/>
    <col min="11779" max="11779" width="15.5" style="217" customWidth="1"/>
    <col min="11780" max="11781" width="15.875" style="217" bestFit="1" customWidth="1"/>
    <col min="11782" max="11782" width="15.125" style="217" customWidth="1"/>
    <col min="11783" max="11783" width="13.75" style="217" customWidth="1"/>
    <col min="11784" max="11784" width="9" style="217"/>
    <col min="11785" max="11785" width="17.125" style="217" bestFit="1" customWidth="1"/>
    <col min="11786" max="11786" width="15.5" style="217" customWidth="1"/>
    <col min="11787" max="11787" width="9" style="217"/>
    <col min="11788" max="11789" width="15.875" style="217" bestFit="1" customWidth="1"/>
    <col min="11790" max="11790" width="9.125" style="217" bestFit="1" customWidth="1"/>
    <col min="11791" max="11791" width="9.375" style="217" bestFit="1" customWidth="1"/>
    <col min="11792" max="12034" width="9" style="217"/>
    <col min="12035" max="12035" width="15.5" style="217" customWidth="1"/>
    <col min="12036" max="12037" width="15.875" style="217" bestFit="1" customWidth="1"/>
    <col min="12038" max="12038" width="15.125" style="217" customWidth="1"/>
    <col min="12039" max="12039" width="13.75" style="217" customWidth="1"/>
    <col min="12040" max="12040" width="9" style="217"/>
    <col min="12041" max="12041" width="17.125" style="217" bestFit="1" customWidth="1"/>
    <col min="12042" max="12042" width="15.5" style="217" customWidth="1"/>
    <col min="12043" max="12043" width="9" style="217"/>
    <col min="12044" max="12045" width="15.875" style="217" bestFit="1" customWidth="1"/>
    <col min="12046" max="12046" width="9.125" style="217" bestFit="1" customWidth="1"/>
    <col min="12047" max="12047" width="9.375" style="217" bestFit="1" customWidth="1"/>
    <col min="12048" max="12290" width="9" style="217"/>
    <col min="12291" max="12291" width="15.5" style="217" customWidth="1"/>
    <col min="12292" max="12293" width="15.875" style="217" bestFit="1" customWidth="1"/>
    <col min="12294" max="12294" width="15.125" style="217" customWidth="1"/>
    <col min="12295" max="12295" width="13.75" style="217" customWidth="1"/>
    <col min="12296" max="12296" width="9" style="217"/>
    <col min="12297" max="12297" width="17.125" style="217" bestFit="1" customWidth="1"/>
    <col min="12298" max="12298" width="15.5" style="217" customWidth="1"/>
    <col min="12299" max="12299" width="9" style="217"/>
    <col min="12300" max="12301" width="15.875" style="217" bestFit="1" customWidth="1"/>
    <col min="12302" max="12302" width="9.125" style="217" bestFit="1" customWidth="1"/>
    <col min="12303" max="12303" width="9.375" style="217" bestFit="1" customWidth="1"/>
    <col min="12304" max="12546" width="9" style="217"/>
    <col min="12547" max="12547" width="15.5" style="217" customWidth="1"/>
    <col min="12548" max="12549" width="15.875" style="217" bestFit="1" customWidth="1"/>
    <col min="12550" max="12550" width="15.125" style="217" customWidth="1"/>
    <col min="12551" max="12551" width="13.75" style="217" customWidth="1"/>
    <col min="12552" max="12552" width="9" style="217"/>
    <col min="12553" max="12553" width="17.125" style="217" bestFit="1" customWidth="1"/>
    <col min="12554" max="12554" width="15.5" style="217" customWidth="1"/>
    <col min="12555" max="12555" width="9" style="217"/>
    <col min="12556" max="12557" width="15.875" style="217" bestFit="1" customWidth="1"/>
    <col min="12558" max="12558" width="9.125" style="217" bestFit="1" customWidth="1"/>
    <col min="12559" max="12559" width="9.375" style="217" bestFit="1" customWidth="1"/>
    <col min="12560" max="12802" width="9" style="217"/>
    <col min="12803" max="12803" width="15.5" style="217" customWidth="1"/>
    <col min="12804" max="12805" width="15.875" style="217" bestFit="1" customWidth="1"/>
    <col min="12806" max="12806" width="15.125" style="217" customWidth="1"/>
    <col min="12807" max="12807" width="13.75" style="217" customWidth="1"/>
    <col min="12808" max="12808" width="9" style="217"/>
    <col min="12809" max="12809" width="17.125" style="217" bestFit="1" customWidth="1"/>
    <col min="12810" max="12810" width="15.5" style="217" customWidth="1"/>
    <col min="12811" max="12811" width="9" style="217"/>
    <col min="12812" max="12813" width="15.875" style="217" bestFit="1" customWidth="1"/>
    <col min="12814" max="12814" width="9.125" style="217" bestFit="1" customWidth="1"/>
    <col min="12815" max="12815" width="9.375" style="217" bestFit="1" customWidth="1"/>
    <col min="12816" max="13058" width="9" style="217"/>
    <col min="13059" max="13059" width="15.5" style="217" customWidth="1"/>
    <col min="13060" max="13061" width="15.875" style="217" bestFit="1" customWidth="1"/>
    <col min="13062" max="13062" width="15.125" style="217" customWidth="1"/>
    <col min="13063" max="13063" width="13.75" style="217" customWidth="1"/>
    <col min="13064" max="13064" width="9" style="217"/>
    <col min="13065" max="13065" width="17.125" style="217" bestFit="1" customWidth="1"/>
    <col min="13066" max="13066" width="15.5" style="217" customWidth="1"/>
    <col min="13067" max="13067" width="9" style="217"/>
    <col min="13068" max="13069" width="15.875" style="217" bestFit="1" customWidth="1"/>
    <col min="13070" max="13070" width="9.125" style="217" bestFit="1" customWidth="1"/>
    <col min="13071" max="13071" width="9.375" style="217" bestFit="1" customWidth="1"/>
    <col min="13072" max="13314" width="9" style="217"/>
    <col min="13315" max="13315" width="15.5" style="217" customWidth="1"/>
    <col min="13316" max="13317" width="15.875" style="217" bestFit="1" customWidth="1"/>
    <col min="13318" max="13318" width="15.125" style="217" customWidth="1"/>
    <col min="13319" max="13319" width="13.75" style="217" customWidth="1"/>
    <col min="13320" max="13320" width="9" style="217"/>
    <col min="13321" max="13321" width="17.125" style="217" bestFit="1" customWidth="1"/>
    <col min="13322" max="13322" width="15.5" style="217" customWidth="1"/>
    <col min="13323" max="13323" width="9" style="217"/>
    <col min="13324" max="13325" width="15.875" style="217" bestFit="1" customWidth="1"/>
    <col min="13326" max="13326" width="9.125" style="217" bestFit="1" customWidth="1"/>
    <col min="13327" max="13327" width="9.375" style="217" bestFit="1" customWidth="1"/>
    <col min="13328" max="13570" width="9" style="217"/>
    <col min="13571" max="13571" width="15.5" style="217" customWidth="1"/>
    <col min="13572" max="13573" width="15.875" style="217" bestFit="1" customWidth="1"/>
    <col min="13574" max="13574" width="15.125" style="217" customWidth="1"/>
    <col min="13575" max="13575" width="13.75" style="217" customWidth="1"/>
    <col min="13576" max="13576" width="9" style="217"/>
    <col min="13577" max="13577" width="17.125" style="217" bestFit="1" customWidth="1"/>
    <col min="13578" max="13578" width="15.5" style="217" customWidth="1"/>
    <col min="13579" max="13579" width="9" style="217"/>
    <col min="13580" max="13581" width="15.875" style="217" bestFit="1" customWidth="1"/>
    <col min="13582" max="13582" width="9.125" style="217" bestFit="1" customWidth="1"/>
    <col min="13583" max="13583" width="9.375" style="217" bestFit="1" customWidth="1"/>
    <col min="13584" max="13826" width="9" style="217"/>
    <col min="13827" max="13827" width="15.5" style="217" customWidth="1"/>
    <col min="13828" max="13829" width="15.875" style="217" bestFit="1" customWidth="1"/>
    <col min="13830" max="13830" width="15.125" style="217" customWidth="1"/>
    <col min="13831" max="13831" width="13.75" style="217" customWidth="1"/>
    <col min="13832" max="13832" width="9" style="217"/>
    <col min="13833" max="13833" width="17.125" style="217" bestFit="1" customWidth="1"/>
    <col min="13834" max="13834" width="15.5" style="217" customWidth="1"/>
    <col min="13835" max="13835" width="9" style="217"/>
    <col min="13836" max="13837" width="15.875" style="217" bestFit="1" customWidth="1"/>
    <col min="13838" max="13838" width="9.125" style="217" bestFit="1" customWidth="1"/>
    <col min="13839" max="13839" width="9.375" style="217" bestFit="1" customWidth="1"/>
    <col min="13840" max="14082" width="9" style="217"/>
    <col min="14083" max="14083" width="15.5" style="217" customWidth="1"/>
    <col min="14084" max="14085" width="15.875" style="217" bestFit="1" customWidth="1"/>
    <col min="14086" max="14086" width="15.125" style="217" customWidth="1"/>
    <col min="14087" max="14087" width="13.75" style="217" customWidth="1"/>
    <col min="14088" max="14088" width="9" style="217"/>
    <col min="14089" max="14089" width="17.125" style="217" bestFit="1" customWidth="1"/>
    <col min="14090" max="14090" width="15.5" style="217" customWidth="1"/>
    <col min="14091" max="14091" width="9" style="217"/>
    <col min="14092" max="14093" width="15.875" style="217" bestFit="1" customWidth="1"/>
    <col min="14094" max="14094" width="9.125" style="217" bestFit="1" customWidth="1"/>
    <col min="14095" max="14095" width="9.375" style="217" bestFit="1" customWidth="1"/>
    <col min="14096" max="14338" width="9" style="217"/>
    <col min="14339" max="14339" width="15.5" style="217" customWidth="1"/>
    <col min="14340" max="14341" width="15.875" style="217" bestFit="1" customWidth="1"/>
    <col min="14342" max="14342" width="15.125" style="217" customWidth="1"/>
    <col min="14343" max="14343" width="13.75" style="217" customWidth="1"/>
    <col min="14344" max="14344" width="9" style="217"/>
    <col min="14345" max="14345" width="17.125" style="217" bestFit="1" customWidth="1"/>
    <col min="14346" max="14346" width="15.5" style="217" customWidth="1"/>
    <col min="14347" max="14347" width="9" style="217"/>
    <col min="14348" max="14349" width="15.875" style="217" bestFit="1" customWidth="1"/>
    <col min="14350" max="14350" width="9.125" style="217" bestFit="1" customWidth="1"/>
    <col min="14351" max="14351" width="9.375" style="217" bestFit="1" customWidth="1"/>
    <col min="14352" max="14594" width="9" style="217"/>
    <col min="14595" max="14595" width="15.5" style="217" customWidth="1"/>
    <col min="14596" max="14597" width="15.875" style="217" bestFit="1" customWidth="1"/>
    <col min="14598" max="14598" width="15.125" style="217" customWidth="1"/>
    <col min="14599" max="14599" width="13.75" style="217" customWidth="1"/>
    <col min="14600" max="14600" width="9" style="217"/>
    <col min="14601" max="14601" width="17.125" style="217" bestFit="1" customWidth="1"/>
    <col min="14602" max="14602" width="15.5" style="217" customWidth="1"/>
    <col min="14603" max="14603" width="9" style="217"/>
    <col min="14604" max="14605" width="15.875" style="217" bestFit="1" customWidth="1"/>
    <col min="14606" max="14606" width="9.125" style="217" bestFit="1" customWidth="1"/>
    <col min="14607" max="14607" width="9.375" style="217" bestFit="1" customWidth="1"/>
    <col min="14608" max="14850" width="9" style="217"/>
    <col min="14851" max="14851" width="15.5" style="217" customWidth="1"/>
    <col min="14852" max="14853" width="15.875" style="217" bestFit="1" customWidth="1"/>
    <col min="14854" max="14854" width="15.125" style="217" customWidth="1"/>
    <col min="14855" max="14855" width="13.75" style="217" customWidth="1"/>
    <col min="14856" max="14856" width="9" style="217"/>
    <col min="14857" max="14857" width="17.125" style="217" bestFit="1" customWidth="1"/>
    <col min="14858" max="14858" width="15.5" style="217" customWidth="1"/>
    <col min="14859" max="14859" width="9" style="217"/>
    <col min="14860" max="14861" width="15.875" style="217" bestFit="1" customWidth="1"/>
    <col min="14862" max="14862" width="9.125" style="217" bestFit="1" customWidth="1"/>
    <col min="14863" max="14863" width="9.375" style="217" bestFit="1" customWidth="1"/>
    <col min="14864" max="15106" width="9" style="217"/>
    <col min="15107" max="15107" width="15.5" style="217" customWidth="1"/>
    <col min="15108" max="15109" width="15.875" style="217" bestFit="1" customWidth="1"/>
    <col min="15110" max="15110" width="15.125" style="217" customWidth="1"/>
    <col min="15111" max="15111" width="13.75" style="217" customWidth="1"/>
    <col min="15112" max="15112" width="9" style="217"/>
    <col min="15113" max="15113" width="17.125" style="217" bestFit="1" customWidth="1"/>
    <col min="15114" max="15114" width="15.5" style="217" customWidth="1"/>
    <col min="15115" max="15115" width="9" style="217"/>
    <col min="15116" max="15117" width="15.875" style="217" bestFit="1" customWidth="1"/>
    <col min="15118" max="15118" width="9.125" style="217" bestFit="1" customWidth="1"/>
    <col min="15119" max="15119" width="9.375" style="217" bestFit="1" customWidth="1"/>
    <col min="15120" max="15362" width="9" style="217"/>
    <col min="15363" max="15363" width="15.5" style="217" customWidth="1"/>
    <col min="15364" max="15365" width="15.875" style="217" bestFit="1" customWidth="1"/>
    <col min="15366" max="15366" width="15.125" style="217" customWidth="1"/>
    <col min="15367" max="15367" width="13.75" style="217" customWidth="1"/>
    <col min="15368" max="15368" width="9" style="217"/>
    <col min="15369" max="15369" width="17.125" style="217" bestFit="1" customWidth="1"/>
    <col min="15370" max="15370" width="15.5" style="217" customWidth="1"/>
    <col min="15371" max="15371" width="9" style="217"/>
    <col min="15372" max="15373" width="15.875" style="217" bestFit="1" customWidth="1"/>
    <col min="15374" max="15374" width="9.125" style="217" bestFit="1" customWidth="1"/>
    <col min="15375" max="15375" width="9.375" style="217" bestFit="1" customWidth="1"/>
    <col min="15376" max="15618" width="9" style="217"/>
    <col min="15619" max="15619" width="15.5" style="217" customWidth="1"/>
    <col min="15620" max="15621" width="15.875" style="217" bestFit="1" customWidth="1"/>
    <col min="15622" max="15622" width="15.125" style="217" customWidth="1"/>
    <col min="15623" max="15623" width="13.75" style="217" customWidth="1"/>
    <col min="15624" max="15624" width="9" style="217"/>
    <col min="15625" max="15625" width="17.125" style="217" bestFit="1" customWidth="1"/>
    <col min="15626" max="15626" width="15.5" style="217" customWidth="1"/>
    <col min="15627" max="15627" width="9" style="217"/>
    <col min="15628" max="15629" width="15.875" style="217" bestFit="1" customWidth="1"/>
    <col min="15630" max="15630" width="9.125" style="217" bestFit="1" customWidth="1"/>
    <col min="15631" max="15631" width="9.375" style="217" bestFit="1" customWidth="1"/>
    <col min="15632" max="15874" width="9" style="217"/>
    <col min="15875" max="15875" width="15.5" style="217" customWidth="1"/>
    <col min="15876" max="15877" width="15.875" style="217" bestFit="1" customWidth="1"/>
    <col min="15878" max="15878" width="15.125" style="217" customWidth="1"/>
    <col min="15879" max="15879" width="13.75" style="217" customWidth="1"/>
    <col min="15880" max="15880" width="9" style="217"/>
    <col min="15881" max="15881" width="17.125" style="217" bestFit="1" customWidth="1"/>
    <col min="15882" max="15882" width="15.5" style="217" customWidth="1"/>
    <col min="15883" max="15883" width="9" style="217"/>
    <col min="15884" max="15885" width="15.875" style="217" bestFit="1" customWidth="1"/>
    <col min="15886" max="15886" width="9.125" style="217" bestFit="1" customWidth="1"/>
    <col min="15887" max="15887" width="9.375" style="217" bestFit="1" customWidth="1"/>
    <col min="15888" max="16130" width="9" style="217"/>
    <col min="16131" max="16131" width="15.5" style="217" customWidth="1"/>
    <col min="16132" max="16133" width="15.875" style="217" bestFit="1" customWidth="1"/>
    <col min="16134" max="16134" width="15.125" style="217" customWidth="1"/>
    <col min="16135" max="16135" width="13.75" style="217" customWidth="1"/>
    <col min="16136" max="16136" width="9" style="217"/>
    <col min="16137" max="16137" width="17.125" style="217" bestFit="1" customWidth="1"/>
    <col min="16138" max="16138" width="15.5" style="217" customWidth="1"/>
    <col min="16139" max="16139" width="9" style="217"/>
    <col min="16140" max="16141" width="15.875" style="217" bestFit="1" customWidth="1"/>
    <col min="16142" max="16142" width="9.125" style="217" bestFit="1" customWidth="1"/>
    <col min="16143" max="16143" width="9.375" style="217" bestFit="1" customWidth="1"/>
    <col min="16144" max="16384" width="9" style="217"/>
  </cols>
  <sheetData>
    <row r="2" spans="2:11">
      <c r="C2" s="269" t="s">
        <v>604</v>
      </c>
    </row>
    <row r="3" spans="2:11">
      <c r="B3" s="196"/>
      <c r="C3" s="196" t="str">
        <f>'代表特性(C9)_元データ'!G3</f>
        <v>IF(x)-lm%(y)</v>
      </c>
      <c r="D3" s="196" t="str">
        <f>'代表特性(C9)_元データ'!I3</f>
        <v>lm%(x)-IF(y)</v>
      </c>
      <c r="E3" s="196" t="str">
        <f>'代表特性(C9)_元データ'!E3</f>
        <v>IF(x)-VF%(y)</v>
      </c>
      <c r="F3" s="196" t="str">
        <f>'代表特性(C9)_元データ'!M3</f>
        <v>Tc(x)-lm%(y)</v>
      </c>
      <c r="G3" s="196" t="str">
        <f>'代表特性(C9)_元データ'!K3</f>
        <v>Tc(x)-VF%(y)</v>
      </c>
    </row>
    <row r="4" spans="2:11">
      <c r="B4" s="196" t="s">
        <v>152</v>
      </c>
      <c r="C4" s="196">
        <f>'代表特性(C9)_元データ'!H5</f>
        <v>2.4827670185275499E-9</v>
      </c>
      <c r="D4" s="196">
        <f>'代表特性(C9)_元データ'!J5</f>
        <v>10.281993740812391</v>
      </c>
      <c r="E4" s="196">
        <f>'代表特性(C9)_元データ'!F5</f>
        <v>-5.5791916066851983E-7</v>
      </c>
      <c r="F4" s="196">
        <f>'代表特性(C9)_元データ'!N5</f>
        <v>-1.8910606314372557E-10</v>
      </c>
      <c r="G4" s="196">
        <f>'代表特性(C9)_元データ'!L5</f>
        <v>1.4835966164305514E-6</v>
      </c>
    </row>
    <row r="5" spans="2:11">
      <c r="B5" s="196" t="s">
        <v>29</v>
      </c>
      <c r="C5" s="196">
        <f>'代表特性(C9)_元データ'!H6</f>
        <v>-5.6711192129284104E-6</v>
      </c>
      <c r="D5" s="196">
        <f>'代表特性(C9)_元データ'!J6</f>
        <v>8.8473438039176244</v>
      </c>
      <c r="E5" s="196">
        <f>'代表特性(C9)_元データ'!F6</f>
        <v>8.144687487121918E-4</v>
      </c>
      <c r="F5" s="196">
        <f>'代表特性(C9)_元データ'!N6</f>
        <v>-6.5694857122192818E-6</v>
      </c>
      <c r="G5" s="196">
        <f>'代表特性(C9)_元データ'!L6</f>
        <v>-7.2950694561150792E-4</v>
      </c>
    </row>
    <row r="6" spans="2:11">
      <c r="B6" s="196" t="s">
        <v>30</v>
      </c>
      <c r="C6" s="196">
        <f>'代表特性(C9)_元データ'!H7</f>
        <v>6.6193247878621152E-3</v>
      </c>
      <c r="D6" s="196">
        <f>'代表特性(C9)_元データ'!J7</f>
        <v>157.0924900274988</v>
      </c>
      <c r="E6" s="196">
        <f>'代表特性(C9)_元データ'!F7</f>
        <v>0.87455424327084008</v>
      </c>
      <c r="F6" s="196">
        <f>'代表特性(C9)_元データ'!N7</f>
        <v>-1.3017320797095156E-3</v>
      </c>
      <c r="G6" s="196">
        <f>'代表特性(C9)_元データ'!L7</f>
        <v>1.0173104257550183</v>
      </c>
    </row>
    <row r="7" spans="2:11">
      <c r="B7" s="196" t="s">
        <v>165</v>
      </c>
      <c r="C7" s="196">
        <f>'代表特性(C9)_元データ'!H8</f>
        <v>1.9901085301417543E-3</v>
      </c>
      <c r="D7" s="196">
        <f>'代表特性(C9)_元データ'!J8</f>
        <v>-1.2218275722288112</v>
      </c>
      <c r="E7" s="196"/>
      <c r="F7" s="196">
        <f>'代表特性(C9)_元データ'!N8</f>
        <v>1.0366521853451116</v>
      </c>
      <c r="G7" s="196"/>
    </row>
    <row r="9" spans="2:11">
      <c r="C9" s="196" t="s">
        <v>43</v>
      </c>
      <c r="D9" s="219">
        <v>66.30999978420958</v>
      </c>
      <c r="F9" s="196" t="s">
        <v>43</v>
      </c>
      <c r="G9" s="219">
        <v>65.063999759314839</v>
      </c>
      <c r="I9" s="196" t="s">
        <v>43</v>
      </c>
      <c r="J9" s="219">
        <v>62.322799858305061</v>
      </c>
    </row>
    <row r="10" spans="2:11">
      <c r="C10" s="196" t="s">
        <v>36</v>
      </c>
      <c r="D10" s="197">
        <v>175</v>
      </c>
      <c r="F10" s="196" t="s">
        <v>36</v>
      </c>
      <c r="G10" s="197">
        <v>175</v>
      </c>
      <c r="I10" s="196" t="s">
        <v>36</v>
      </c>
      <c r="J10" s="197">
        <v>175</v>
      </c>
    </row>
    <row r="11" spans="2:11">
      <c r="C11" s="196" t="s">
        <v>37</v>
      </c>
      <c r="D11" s="196">
        <f>D10*D12</f>
        <v>175</v>
      </c>
      <c r="F11" s="196" t="s">
        <v>37</v>
      </c>
      <c r="G11" s="196">
        <f>G10*G12</f>
        <v>350</v>
      </c>
      <c r="I11" s="196" t="s">
        <v>37</v>
      </c>
      <c r="J11" s="196">
        <f>J10*J12</f>
        <v>700</v>
      </c>
    </row>
    <row r="12" spans="2:11">
      <c r="C12" s="217" t="s">
        <v>112</v>
      </c>
      <c r="D12" s="196">
        <v>1</v>
      </c>
      <c r="F12" s="217" t="s">
        <v>166</v>
      </c>
      <c r="G12" s="196">
        <v>2</v>
      </c>
      <c r="I12" s="217" t="s">
        <v>167</v>
      </c>
      <c r="J12" s="196">
        <v>4</v>
      </c>
    </row>
    <row r="13" spans="2:11">
      <c r="C13" s="196" t="s">
        <v>168</v>
      </c>
      <c r="D13" s="223">
        <f>ROUND(E13,-INT(LOG10(E13))+3)</f>
        <v>35.6</v>
      </c>
      <c r="E13" s="683">
        <f>($E$4*$D$10^2+$E$5*$D$10+$E$6)*($G$4*$D$9^2+$G$5*$D$9+$G$6)*Tcスペック算出!J12</f>
        <v>35.600000004195643</v>
      </c>
      <c r="F13" s="196" t="s">
        <v>168</v>
      </c>
      <c r="G13" s="223">
        <f>ROUND(H13,-INT(LOG10(H13))+3)</f>
        <v>35.6</v>
      </c>
      <c r="H13" s="683">
        <f>($E$4*$G$10^2+$E$5*$G$10+$E$6)*($G$4*$G$9^2+$G$5*$G$9+$G$6)*Tcスペック算出!J13</f>
        <v>35.600000004708939</v>
      </c>
      <c r="I13" s="196" t="s">
        <v>168</v>
      </c>
      <c r="J13" s="223">
        <f>ROUND(K13,-INT(LOG10(K13))+3)</f>
        <v>35.6</v>
      </c>
      <c r="K13" s="683">
        <f>($E$4*$J$10^2+$E$5*$J$10+$E$6)*($G$4*$J$9^2+$G$5*$J$9+$G$6)*Tcスペック算出!J14</f>
        <v>35.600000002809992</v>
      </c>
    </row>
    <row r="14" spans="2:11">
      <c r="C14" s="196" t="s">
        <v>169</v>
      </c>
      <c r="D14" s="223">
        <f>熱抵抗!K7</f>
        <v>3</v>
      </c>
      <c r="F14" s="196" t="s">
        <v>169</v>
      </c>
      <c r="G14" s="223">
        <f>熱抵抗!K8</f>
        <v>1.6</v>
      </c>
      <c r="I14" s="196" t="s">
        <v>169</v>
      </c>
      <c r="J14" s="222">
        <f>熱抵抗!K9</f>
        <v>0.91</v>
      </c>
    </row>
    <row r="15" spans="2:11">
      <c r="C15" s="196" t="s">
        <v>170</v>
      </c>
      <c r="D15" s="223">
        <f>D9+(D11*D13/1000)*D14</f>
        <v>84.999999784209578</v>
      </c>
      <c r="F15" s="196" t="s">
        <v>170</v>
      </c>
      <c r="G15" s="223">
        <f>G9+(G11*G13/1000)*G14</f>
        <v>84.999999759314846</v>
      </c>
      <c r="I15" s="196" t="s">
        <v>170</v>
      </c>
      <c r="J15" s="223">
        <f>J9+(J11*J13/1000)*J14</f>
        <v>84.99999985830506</v>
      </c>
    </row>
    <row r="16" spans="2:11">
      <c r="C16" s="195" t="s">
        <v>168</v>
      </c>
      <c r="D16" s="195" t="s">
        <v>171</v>
      </c>
      <c r="F16" s="195" t="s">
        <v>168</v>
      </c>
      <c r="G16" s="195" t="s">
        <v>171</v>
      </c>
      <c r="I16" s="195" t="s">
        <v>168</v>
      </c>
      <c r="J16" s="195" t="s">
        <v>171</v>
      </c>
    </row>
    <row r="17" spans="3:11">
      <c r="C17" s="225">
        <f>($E$4*$D$10^2+$E$5*$D$10+$E$6)*($G$4*$D$9^2+$G$5*$D$9+$G$6)</f>
        <v>0.97546021851483289</v>
      </c>
      <c r="D17" s="225">
        <f>($C$4*$D$10^3+$C$5*$D$10^2+$C$6*$D$10+$C$7)*($F$4*$D$9^3+$F$5*$D$9^2+$F$6*$D$9+$F$7)</f>
        <v>0.92139306023924605</v>
      </c>
      <c r="F17" s="225">
        <f>($E$4*$G$10^2+$E$5*$G$10+$E$6)*($G$4*$G$9^2+$G$5*$G$9+$G$6)</f>
        <v>0.9761263312799463</v>
      </c>
      <c r="G17" s="225">
        <f>($C$4*$G$10^3+$C$5*$G$10^2+$C$6*$G$10+$C$7)*($F$4*$G$9^3+$F$5*$G$9^2+$F$6*$G$9+$F$7)</f>
        <v>0.924093440860146</v>
      </c>
      <c r="I17" s="225">
        <f>($E$4*$J$10^2+$E$5*$J$10+$E$6)*($G$4*$J$9^2+$G$5*$J$9+$G$6)</f>
        <v>0.97760799456480063</v>
      </c>
      <c r="J17" s="225">
        <f>($C$4*$J$10^3+$C$5*$J$10^2+$C$6*$J$10+$C$7)*($F$4*$J$9^3+$F$5*$J$9^2+$F$6*$J$9+$F$7)</f>
        <v>0.92996207495875771</v>
      </c>
    </row>
    <row r="20" spans="3:11">
      <c r="C20" s="196" t="s">
        <v>32</v>
      </c>
      <c r="D20" s="219">
        <v>66.304236886641377</v>
      </c>
      <c r="I20" s="196" t="s">
        <v>32</v>
      </c>
      <c r="J20" s="219">
        <v>62.338498028153829</v>
      </c>
    </row>
    <row r="21" spans="3:11">
      <c r="C21" s="196" t="s">
        <v>36</v>
      </c>
      <c r="D21" s="197">
        <v>175</v>
      </c>
      <c r="I21" s="196" t="s">
        <v>36</v>
      </c>
      <c r="J21" s="197">
        <v>175</v>
      </c>
    </row>
    <row r="22" spans="3:11">
      <c r="C22" s="196" t="s">
        <v>37</v>
      </c>
      <c r="D22" s="196">
        <f>D21*D23</f>
        <v>525</v>
      </c>
      <c r="I22" s="196" t="s">
        <v>37</v>
      </c>
      <c r="J22" s="196">
        <f>J21*J23</f>
        <v>175</v>
      </c>
    </row>
    <row r="23" spans="3:11">
      <c r="C23" s="269" t="s">
        <v>612</v>
      </c>
      <c r="D23" s="196">
        <v>3</v>
      </c>
      <c r="I23" s="269" t="s">
        <v>648</v>
      </c>
      <c r="J23" s="196">
        <v>1</v>
      </c>
    </row>
    <row r="24" spans="3:11">
      <c r="C24" s="196" t="s">
        <v>31</v>
      </c>
      <c r="D24" s="223">
        <f>ROUND(E24,-INT(LOG10(E24))+3)</f>
        <v>11.87</v>
      </c>
      <c r="E24" s="683">
        <f>($E$4*$D$21^2+$E$5*$D$21+$E$6)*($G$4*$D$20^2+$G$5*$D$20+$G$6)*Tcスペック算出!J16</f>
        <v>11.866704018222535</v>
      </c>
      <c r="I24" s="196" t="s">
        <v>31</v>
      </c>
      <c r="J24" s="223">
        <f>ROUND(K24,-INT(LOG10(K24))+3)</f>
        <v>142.30000000000001</v>
      </c>
      <c r="K24" s="683">
        <f>($E$4*$J$21^2+$E$5*$J$21+$E$6)*($G$4*$J$20^2+$G$5*$J$20+$G$6)*Tcスペック算出!J18</f>
        <v>142.29676838732377</v>
      </c>
    </row>
    <row r="25" spans="3:11">
      <c r="C25" s="196" t="s">
        <v>158</v>
      </c>
      <c r="D25" s="223">
        <f>熱抵抗!K7</f>
        <v>3</v>
      </c>
      <c r="I25" s="196" t="s">
        <v>158</v>
      </c>
      <c r="J25" s="222">
        <f>熱抵抗!K11</f>
        <v>0.91</v>
      </c>
    </row>
    <row r="26" spans="3:11">
      <c r="C26" s="196" t="s">
        <v>40</v>
      </c>
      <c r="D26" s="223">
        <f>D20+(D22*D24/1000)*D25</f>
        <v>84.999486886641378</v>
      </c>
      <c r="I26" s="196" t="s">
        <v>40</v>
      </c>
      <c r="J26" s="223">
        <f>J20+(J22*J24/1000)*J25</f>
        <v>84.99977302815384</v>
      </c>
    </row>
    <row r="27" spans="3:11">
      <c r="C27" s="195" t="s">
        <v>31</v>
      </c>
      <c r="D27" s="195" t="s">
        <v>160</v>
      </c>
      <c r="I27" s="195" t="s">
        <v>31</v>
      </c>
      <c r="J27" s="195" t="s">
        <v>160</v>
      </c>
    </row>
    <row r="28" spans="3:11">
      <c r="C28" s="225">
        <f>($E$4*$D$21^2+$E$5*$D$21+$E$6)*($G$4*$D$20^2+$G$5*$D$20+$G$6)</f>
        <v>0.97546328876140176</v>
      </c>
      <c r="D28" s="225">
        <f>($C$4*$D$21^3+$C$5*$D$21^2+$C$6*$D$21+$C$7)*($F$4*$D$20^3+$F$5*$D$20^2+$F$6*$D$20+$F$7)</f>
        <v>0.92140559704084379</v>
      </c>
      <c r="I28" s="225">
        <f>($E$4*$J$21^2+$E$5*$J$21+$E$6)*($G$4*$J$20^2+$G$5*$J$20+$G$6)</f>
        <v>0.97759944597153337</v>
      </c>
      <c r="J28" s="225">
        <f>($C$4*$J$21^3+$C$5*$J$21^2+$C$6*$J$21+$C$7)*($F$4*$J$20^3+$F$5*$J$20^2+$F$6*$J$20+$F$7)</f>
        <v>0.92992874936440029</v>
      </c>
    </row>
    <row r="31" spans="3:11">
      <c r="C31" s="196" t="s">
        <v>32</v>
      </c>
      <c r="D31" s="219">
        <v>65.633174107056547</v>
      </c>
    </row>
    <row r="32" spans="3:11">
      <c r="C32" s="196" t="s">
        <v>36</v>
      </c>
      <c r="D32" s="197">
        <v>175</v>
      </c>
    </row>
    <row r="33" spans="3:5">
      <c r="C33" s="196" t="s">
        <v>37</v>
      </c>
      <c r="D33" s="196">
        <f>D32*D34</f>
        <v>175</v>
      </c>
    </row>
    <row r="34" spans="3:5">
      <c r="C34" s="269" t="s">
        <v>614</v>
      </c>
      <c r="D34" s="196">
        <v>1</v>
      </c>
    </row>
    <row r="35" spans="3:5">
      <c r="C35" s="196" t="s">
        <v>31</v>
      </c>
      <c r="D35" s="223">
        <f>ROUND(E35,-INT(LOG10(E35))+3)</f>
        <v>29.9</v>
      </c>
      <c r="E35" s="683">
        <f>($E$4*$D$32^2+$E$5*$D$32+$E$6)*($G$4*$D$31^2+$G$5*$D$31+$G$6)*Tcスペック算出!J17</f>
        <v>29.90010774785226</v>
      </c>
    </row>
    <row r="36" spans="3:5">
      <c r="C36" s="196" t="s">
        <v>158</v>
      </c>
      <c r="D36" s="223">
        <f>熱抵抗!K10</f>
        <v>3.7</v>
      </c>
    </row>
    <row r="37" spans="3:5">
      <c r="C37" s="196" t="s">
        <v>40</v>
      </c>
      <c r="D37" s="223">
        <f>D31+(D33*D35/1000)*D36</f>
        <v>84.993424107056541</v>
      </c>
      <c r="E37" s="217">
        <v>70.380463300043829</v>
      </c>
    </row>
    <row r="38" spans="3:5">
      <c r="C38" s="195" t="s">
        <v>31</v>
      </c>
      <c r="D38" s="195" t="s">
        <v>160</v>
      </c>
    </row>
    <row r="39" spans="3:5">
      <c r="C39" s="225">
        <f>($E$4*$D$32^2+$E$5*$D$32+$E$6)*($G$4*$D$31^2+$G$5*$D$31+$G$6)</f>
        <v>0.97582147861888302</v>
      </c>
      <c r="D39" s="225">
        <f>($C$4*$D$32^3+$C$5*$D$32^2+$C$6*$D$32+$C$7)*($F$4*$D$31^3+$F$5*$D$31^2+$F$6*$D$31+$F$7)</f>
        <v>0.92286244878963886</v>
      </c>
    </row>
    <row r="40" spans="3:5">
      <c r="C40" s="217">
        <v>0.97584956074767903</v>
      </c>
      <c r="D40" s="217">
        <v>0.92297618589388142</v>
      </c>
    </row>
  </sheetData>
  <sheetProtection password="A7EA" sheet="1" objects="1" scenarios="1"/>
  <phoneticPr fontId="7"/>
  <pageMargins left="0.7" right="0.7" top="0.75" bottom="0.75" header="0.3" footer="0.3"/>
  <ignoredErrors>
    <ignoredError sqref="D4:D7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2:AM106"/>
  <sheetViews>
    <sheetView zoomScale="70" zoomScaleNormal="70" workbookViewId="0">
      <selection activeCell="H3" sqref="H3"/>
    </sheetView>
  </sheetViews>
  <sheetFormatPr defaultRowHeight="15.75"/>
  <cols>
    <col min="1" max="2" width="4" style="203" customWidth="1"/>
    <col min="3" max="16384" width="9" style="203"/>
  </cols>
  <sheetData>
    <row r="2" spans="2:28">
      <c r="B2" s="203" t="s">
        <v>265</v>
      </c>
    </row>
    <row r="3" spans="2:28">
      <c r="F3" s="203" t="s">
        <v>74</v>
      </c>
      <c r="G3" s="203">
        <f>SLOPE(G8:G9,F8:F9)</f>
        <v>-5.9999999999999911</v>
      </c>
      <c r="M3" s="203" t="s">
        <v>74</v>
      </c>
      <c r="N3" s="203">
        <f>SLOPE(N8:N9,M8:M9)</f>
        <v>-5.9999999999999911</v>
      </c>
      <c r="T3" s="203" t="s">
        <v>74</v>
      </c>
      <c r="U3" s="203">
        <f>SLOPE(U8:U9,T8:T9)</f>
        <v>-5.9999999999999973</v>
      </c>
      <c r="AA3" s="203" t="s">
        <v>74</v>
      </c>
      <c r="AB3" s="203">
        <f>SLOPE(AB8:AB9,AA8:AA9)</f>
        <v>-11.999999999999995</v>
      </c>
    </row>
    <row r="4" spans="2:28">
      <c r="F4" s="203" t="s">
        <v>75</v>
      </c>
      <c r="G4" s="203">
        <f>INTERCEPT(G8:G9,F8:F9)</f>
        <v>859.99999999999909</v>
      </c>
      <c r="M4" s="203" t="s">
        <v>75</v>
      </c>
      <c r="N4" s="203">
        <f>INTERCEPT(N8:N9,M8:M9)</f>
        <v>859.99999999999909</v>
      </c>
      <c r="T4" s="203" t="s">
        <v>75</v>
      </c>
      <c r="U4" s="203">
        <f>INTERCEPT(U8:U9,T8:T9)</f>
        <v>1089.9999999999998</v>
      </c>
      <c r="AA4" s="203" t="s">
        <v>75</v>
      </c>
      <c r="AB4" s="203">
        <f>INTERCEPT(AB8:AB9,AA8:AA9)</f>
        <v>2179.9999999999995</v>
      </c>
    </row>
    <row r="5" spans="2:28">
      <c r="C5" s="236" t="s">
        <v>149</v>
      </c>
      <c r="J5" s="203" t="s">
        <v>112</v>
      </c>
      <c r="Q5" s="203" t="s">
        <v>107</v>
      </c>
      <c r="X5" s="203" t="s">
        <v>108</v>
      </c>
    </row>
    <row r="6" spans="2:28">
      <c r="C6" s="206" t="s">
        <v>113</v>
      </c>
      <c r="D6" s="206" t="s">
        <v>114</v>
      </c>
      <c r="F6" s="303" t="s">
        <v>262</v>
      </c>
      <c r="G6" s="303" t="s">
        <v>263</v>
      </c>
      <c r="J6" s="206" t="s">
        <v>113</v>
      </c>
      <c r="K6" s="206" t="s">
        <v>114</v>
      </c>
      <c r="M6" s="303" t="s">
        <v>262</v>
      </c>
      <c r="N6" s="303" t="s">
        <v>263</v>
      </c>
      <c r="Q6" s="206" t="s">
        <v>113</v>
      </c>
      <c r="R6" s="206" t="s">
        <v>114</v>
      </c>
      <c r="T6" s="303" t="s">
        <v>262</v>
      </c>
      <c r="U6" s="303" t="s">
        <v>263</v>
      </c>
      <c r="X6" s="206" t="s">
        <v>113</v>
      </c>
      <c r="Y6" s="206" t="s">
        <v>114</v>
      </c>
      <c r="AA6" s="303" t="s">
        <v>262</v>
      </c>
      <c r="AB6" s="303" t="s">
        <v>263</v>
      </c>
    </row>
    <row r="7" spans="2:28">
      <c r="C7" s="206">
        <v>0</v>
      </c>
      <c r="D7" s="206">
        <v>350</v>
      </c>
      <c r="F7" s="303">
        <f>C7</f>
        <v>0</v>
      </c>
      <c r="G7" s="303">
        <v>300</v>
      </c>
      <c r="J7" s="206">
        <v>0</v>
      </c>
      <c r="K7" s="206">
        <v>350</v>
      </c>
      <c r="M7" s="303">
        <f>J7</f>
        <v>0</v>
      </c>
      <c r="N7" s="303">
        <v>300</v>
      </c>
      <c r="Q7" s="206">
        <v>0</v>
      </c>
      <c r="R7" s="206">
        <f>K7*2</f>
        <v>700</v>
      </c>
      <c r="T7" s="303">
        <f>Q7</f>
        <v>0</v>
      </c>
      <c r="U7" s="303">
        <f>U8</f>
        <v>600</v>
      </c>
      <c r="X7" s="206">
        <v>0</v>
      </c>
      <c r="Y7" s="206">
        <f>K7*4</f>
        <v>1400</v>
      </c>
      <c r="AA7" s="303">
        <f>X7</f>
        <v>0</v>
      </c>
      <c r="AB7" s="303">
        <f>AB8</f>
        <v>1200</v>
      </c>
    </row>
    <row r="8" spans="2:28">
      <c r="C8" s="235">
        <v>85</v>
      </c>
      <c r="D8" s="206">
        <v>350</v>
      </c>
      <c r="F8" s="304">
        <f>FORECAST(G8,C8:C9,D8:D9)</f>
        <v>93.333333333333314</v>
      </c>
      <c r="G8" s="303">
        <v>300</v>
      </c>
      <c r="J8" s="235">
        <v>85</v>
      </c>
      <c r="K8" s="206">
        <v>350</v>
      </c>
      <c r="M8" s="304">
        <f>FORECAST(N8,J8:J9,K8:K9)</f>
        <v>93.333333333333314</v>
      </c>
      <c r="N8" s="303">
        <v>300</v>
      </c>
      <c r="Q8" s="235">
        <v>65</v>
      </c>
      <c r="R8" s="206">
        <f>K8*2</f>
        <v>700</v>
      </c>
      <c r="T8" s="315">
        <f>FORECAST(U8,Q8:Q9,R8:R9)</f>
        <v>81.666666666666657</v>
      </c>
      <c r="U8" s="303">
        <v>600</v>
      </c>
      <c r="X8" s="235">
        <v>65</v>
      </c>
      <c r="Y8" s="206">
        <f>K8*4</f>
        <v>1400</v>
      </c>
      <c r="AA8" s="315">
        <f>FORECAST(AB8,X8:X9,Y8:Y9)</f>
        <v>81.666666666666657</v>
      </c>
      <c r="AB8" s="303">
        <v>1200</v>
      </c>
    </row>
    <row r="9" spans="2:28">
      <c r="C9" s="206">
        <v>105</v>
      </c>
      <c r="D9" s="206">
        <v>230</v>
      </c>
      <c r="F9" s="303">
        <f>C9</f>
        <v>105</v>
      </c>
      <c r="G9" s="303">
        <f>D9</f>
        <v>230</v>
      </c>
      <c r="J9" s="206">
        <v>105</v>
      </c>
      <c r="K9" s="206">
        <v>230</v>
      </c>
      <c r="M9" s="303">
        <f>J9</f>
        <v>105</v>
      </c>
      <c r="N9" s="303">
        <f>K9</f>
        <v>230</v>
      </c>
      <c r="Q9" s="206">
        <v>105</v>
      </c>
      <c r="R9" s="206">
        <f>K9*2</f>
        <v>460</v>
      </c>
      <c r="T9" s="303">
        <f>Q9</f>
        <v>105</v>
      </c>
      <c r="U9" s="303">
        <f>R9</f>
        <v>460</v>
      </c>
      <c r="X9" s="206">
        <v>105</v>
      </c>
      <c r="Y9" s="206">
        <f>K9*4</f>
        <v>920</v>
      </c>
      <c r="AA9" s="303">
        <f>X9</f>
        <v>105</v>
      </c>
      <c r="AB9" s="303">
        <f>Y9</f>
        <v>920</v>
      </c>
    </row>
    <row r="10" spans="2:28">
      <c r="C10" s="206">
        <v>105</v>
      </c>
      <c r="D10" s="206">
        <v>0</v>
      </c>
      <c r="F10" s="303">
        <f>C10</f>
        <v>105</v>
      </c>
      <c r="G10" s="303">
        <f>D10</f>
        <v>0</v>
      </c>
      <c r="J10" s="206">
        <v>105</v>
      </c>
      <c r="K10" s="206">
        <v>0</v>
      </c>
      <c r="M10" s="303">
        <f>J10</f>
        <v>105</v>
      </c>
      <c r="N10" s="303">
        <f>K10</f>
        <v>0</v>
      </c>
      <c r="Q10" s="206">
        <v>105</v>
      </c>
      <c r="R10" s="206">
        <f>K10*2</f>
        <v>0</v>
      </c>
      <c r="T10" s="303">
        <f>Q10</f>
        <v>105</v>
      </c>
      <c r="U10" s="303">
        <f>R10</f>
        <v>0</v>
      </c>
      <c r="X10" s="206">
        <v>105</v>
      </c>
      <c r="Y10" s="206">
        <f>K10*4</f>
        <v>0</v>
      </c>
      <c r="AA10" s="303">
        <f>X10</f>
        <v>105</v>
      </c>
      <c r="AB10" s="303">
        <f>Y10</f>
        <v>0</v>
      </c>
    </row>
    <row r="27" spans="2:39">
      <c r="B27" s="203" t="s">
        <v>265</v>
      </c>
      <c r="S27" s="203">
        <v>81.6666666666667</v>
      </c>
      <c r="AF27" s="310" t="s">
        <v>268</v>
      </c>
      <c r="AG27" s="310" t="s">
        <v>267</v>
      </c>
      <c r="AH27" s="311" t="s">
        <v>273</v>
      </c>
      <c r="AI27" s="311" t="s">
        <v>272</v>
      </c>
      <c r="AJ27" s="310"/>
      <c r="AL27" s="310"/>
      <c r="AM27" s="310"/>
    </row>
    <row r="28" spans="2:39">
      <c r="F28" s="203" t="s">
        <v>74</v>
      </c>
      <c r="G28" s="203">
        <f>SLOPE(G33:G34,F33:F34)</f>
        <v>-5.9999999999999911</v>
      </c>
      <c r="M28" s="203" t="s">
        <v>74</v>
      </c>
      <c r="N28" s="203">
        <f>SLOPE(N33:N34,M33:M34)</f>
        <v>-5.9999999999999911</v>
      </c>
      <c r="T28" s="203" t="s">
        <v>74</v>
      </c>
      <c r="U28" s="203">
        <f>SLOPE(U33:U34,T33:T34)</f>
        <v>-5.9999999999999973</v>
      </c>
      <c r="AA28" s="203" t="s">
        <v>74</v>
      </c>
      <c r="AB28" s="203">
        <f>SLOPE(AB33:AB34,AA33:AA34)</f>
        <v>-11.999999999999995</v>
      </c>
      <c r="AF28" s="310">
        <v>85</v>
      </c>
      <c r="AG28" s="310">
        <v>1080</v>
      </c>
      <c r="AH28" s="312">
        <v>0.97651678409689591</v>
      </c>
      <c r="AI28" s="311">
        <v>3000</v>
      </c>
      <c r="AJ28" s="310"/>
      <c r="AL28" s="310"/>
      <c r="AM28" s="310"/>
    </row>
    <row r="29" spans="2:39">
      <c r="F29" s="203" t="s">
        <v>75</v>
      </c>
      <c r="G29" s="203">
        <f>INTERCEPT(G33:G34,F33:F34)</f>
        <v>859.99999999999909</v>
      </c>
      <c r="M29" s="203" t="s">
        <v>75</v>
      </c>
      <c r="N29" s="203">
        <f>INTERCEPT(N33:N34,M33:M34)</f>
        <v>859.99999999999909</v>
      </c>
      <c r="T29" s="203" t="s">
        <v>75</v>
      </c>
      <c r="U29" s="203">
        <f>INTERCEPT(U33:U34,T33:T34)</f>
        <v>1089.9999999999998</v>
      </c>
      <c r="AA29" s="203" t="s">
        <v>75</v>
      </c>
      <c r="AB29" s="203">
        <f>INTERCEPT(AB33:AB34,AA33:AA34)</f>
        <v>2179.9999999999995</v>
      </c>
      <c r="AF29" s="310">
        <v>85</v>
      </c>
      <c r="AG29" s="310">
        <v>1200</v>
      </c>
      <c r="AH29" s="312">
        <v>0.96386429386959604</v>
      </c>
      <c r="AI29" s="311">
        <v>3000</v>
      </c>
      <c r="AJ29" s="310"/>
    </row>
    <row r="30" spans="2:39">
      <c r="C30" s="236" t="s">
        <v>149</v>
      </c>
      <c r="J30" s="203" t="s">
        <v>112</v>
      </c>
      <c r="Q30" s="203" t="s">
        <v>107</v>
      </c>
      <c r="X30" s="203" t="s">
        <v>108</v>
      </c>
      <c r="AF30" s="310">
        <v>85</v>
      </c>
      <c r="AG30" s="310">
        <v>1400</v>
      </c>
      <c r="AH30" s="312">
        <v>0.96176231602183859</v>
      </c>
      <c r="AI30" s="311">
        <v>3000</v>
      </c>
      <c r="AJ30" s="310"/>
    </row>
    <row r="31" spans="2:39">
      <c r="C31" s="206" t="s">
        <v>113</v>
      </c>
      <c r="D31" s="206" t="s">
        <v>114</v>
      </c>
      <c r="F31" s="303" t="s">
        <v>262</v>
      </c>
      <c r="G31" s="303" t="s">
        <v>263</v>
      </c>
      <c r="H31" s="310" t="s">
        <v>274</v>
      </c>
      <c r="I31" s="310" t="s">
        <v>40</v>
      </c>
      <c r="J31" s="206" t="s">
        <v>113</v>
      </c>
      <c r="K31" s="206" t="s">
        <v>114</v>
      </c>
      <c r="M31" s="303" t="s">
        <v>262</v>
      </c>
      <c r="N31" s="303" t="s">
        <v>263</v>
      </c>
      <c r="O31" s="310" t="s">
        <v>274</v>
      </c>
      <c r="P31" s="310" t="s">
        <v>40</v>
      </c>
      <c r="Q31" s="206" t="s">
        <v>113</v>
      </c>
      <c r="R31" s="206" t="s">
        <v>114</v>
      </c>
      <c r="T31" s="303" t="s">
        <v>262</v>
      </c>
      <c r="U31" s="303" t="s">
        <v>263</v>
      </c>
      <c r="V31" s="310" t="s">
        <v>274</v>
      </c>
      <c r="W31" s="310" t="s">
        <v>40</v>
      </c>
      <c r="X31" s="206" t="s">
        <v>113</v>
      </c>
      <c r="Y31" s="206" t="s">
        <v>114</v>
      </c>
      <c r="AA31" s="303" t="s">
        <v>262</v>
      </c>
      <c r="AB31" s="303" t="s">
        <v>263</v>
      </c>
      <c r="AC31" s="310" t="s">
        <v>274</v>
      </c>
      <c r="AD31" s="310" t="s">
        <v>40</v>
      </c>
      <c r="AF31" s="310">
        <v>85</v>
      </c>
      <c r="AG31" s="310">
        <v>1600</v>
      </c>
      <c r="AH31" s="312">
        <v>0.9642967277564195</v>
      </c>
      <c r="AI31" s="311">
        <v>3000</v>
      </c>
      <c r="AJ31" s="310"/>
    </row>
    <row r="32" spans="2:39">
      <c r="C32" s="206">
        <v>0</v>
      </c>
      <c r="D32" s="206">
        <v>350</v>
      </c>
      <c r="F32" s="303">
        <f>C32</f>
        <v>0</v>
      </c>
      <c r="G32" s="314">
        <v>300</v>
      </c>
      <c r="J32" s="206">
        <v>0</v>
      </c>
      <c r="K32" s="206">
        <v>350</v>
      </c>
      <c r="M32" s="303">
        <f>J32</f>
        <v>0</v>
      </c>
      <c r="N32" s="314">
        <v>300</v>
      </c>
      <c r="Q32" s="206">
        <v>0</v>
      </c>
      <c r="R32" s="206">
        <f>K32*2</f>
        <v>700</v>
      </c>
      <c r="T32" s="303">
        <f>Q32</f>
        <v>0</v>
      </c>
      <c r="U32" s="314">
        <f>U33</f>
        <v>600</v>
      </c>
      <c r="X32" s="206">
        <v>0</v>
      </c>
      <c r="Y32" s="206">
        <f>K32*4</f>
        <v>1400</v>
      </c>
      <c r="AA32" s="303">
        <f>X32</f>
        <v>0</v>
      </c>
      <c r="AB32" s="314">
        <f>AB33</f>
        <v>1200</v>
      </c>
      <c r="AF32" s="310">
        <v>105</v>
      </c>
      <c r="AG32" s="310">
        <v>920</v>
      </c>
      <c r="AH32" s="312">
        <v>0.97003975817046817</v>
      </c>
      <c r="AI32" s="311">
        <v>3000</v>
      </c>
    </row>
    <row r="33" spans="3:35">
      <c r="C33" s="235">
        <v>85</v>
      </c>
      <c r="D33" s="206">
        <v>350</v>
      </c>
      <c r="F33" s="315">
        <f>FORECAST(G33,C33:C34,D33:D34)</f>
        <v>93.333333333333314</v>
      </c>
      <c r="G33" s="314">
        <v>300</v>
      </c>
      <c r="H33" s="203">
        <v>144.1332823507289</v>
      </c>
      <c r="I33" s="203">
        <v>129</v>
      </c>
      <c r="J33" s="235">
        <v>85</v>
      </c>
      <c r="K33" s="206">
        <v>350</v>
      </c>
      <c r="M33" s="315">
        <f>FORECAST(N33,J33:J34,K33:K34)</f>
        <v>93.333333333333314</v>
      </c>
      <c r="N33" s="314">
        <v>300</v>
      </c>
      <c r="O33" s="203">
        <v>162.82385492232896</v>
      </c>
      <c r="P33" s="203">
        <v>127</v>
      </c>
      <c r="Q33" s="235">
        <v>65</v>
      </c>
      <c r="R33" s="206">
        <f>K33*2</f>
        <v>700</v>
      </c>
      <c r="T33" s="315">
        <f>FORECAST(U33,Q33:Q34,R33:R34)</f>
        <v>81.666666666666657</v>
      </c>
      <c r="U33" s="314">
        <v>600</v>
      </c>
      <c r="V33" s="203">
        <v>197.69609147064691</v>
      </c>
      <c r="W33" s="203">
        <v>118</v>
      </c>
      <c r="X33" s="235">
        <v>65</v>
      </c>
      <c r="Y33" s="206">
        <f>K33*4</f>
        <v>1400</v>
      </c>
      <c r="AA33" s="315">
        <f>FORECAST(AB33,X33:X34,Y33:Y34)</f>
        <v>81.666666666666657</v>
      </c>
      <c r="AB33" s="314">
        <v>1200</v>
      </c>
      <c r="AC33" s="203">
        <v>198.45230070452541</v>
      </c>
      <c r="AD33" s="203">
        <v>123</v>
      </c>
      <c r="AF33" s="310">
        <v>105</v>
      </c>
      <c r="AG33" s="310">
        <v>1080</v>
      </c>
      <c r="AH33" s="312">
        <v>0.9853073729119276</v>
      </c>
      <c r="AI33" s="311">
        <v>3000</v>
      </c>
    </row>
    <row r="34" spans="3:35">
      <c r="C34" s="206">
        <v>105</v>
      </c>
      <c r="D34" s="206">
        <v>230</v>
      </c>
      <c r="F34" s="303">
        <f>C34</f>
        <v>105</v>
      </c>
      <c r="G34" s="303">
        <f>D34</f>
        <v>230</v>
      </c>
      <c r="H34" s="203">
        <v>148.73791601641076</v>
      </c>
      <c r="I34" s="203">
        <v>132</v>
      </c>
      <c r="J34" s="206">
        <v>105</v>
      </c>
      <c r="K34" s="206">
        <v>230</v>
      </c>
      <c r="M34" s="303">
        <f>J34</f>
        <v>105</v>
      </c>
      <c r="N34" s="303">
        <f>K34</f>
        <v>230</v>
      </c>
      <c r="O34" s="203">
        <v>162.35871631560761</v>
      </c>
      <c r="P34" s="203">
        <v>130</v>
      </c>
      <c r="Q34" s="206">
        <v>105</v>
      </c>
      <c r="R34" s="206">
        <f>K34*2</f>
        <v>460</v>
      </c>
      <c r="T34" s="303">
        <f>Q34</f>
        <v>105</v>
      </c>
      <c r="U34" s="303">
        <f>R34</f>
        <v>460</v>
      </c>
      <c r="V34" s="203">
        <v>196.25767471358682</v>
      </c>
      <c r="W34" s="203">
        <v>132</v>
      </c>
      <c r="X34" s="206">
        <v>105</v>
      </c>
      <c r="Y34" s="206">
        <f>K34*4</f>
        <v>920</v>
      </c>
      <c r="AA34" s="303">
        <f>X34</f>
        <v>105</v>
      </c>
      <c r="AB34" s="303">
        <f>Y34</f>
        <v>920</v>
      </c>
      <c r="AC34" s="203">
        <v>196.81162270721626</v>
      </c>
      <c r="AD34" s="203">
        <v>135</v>
      </c>
      <c r="AF34" s="310">
        <v>105</v>
      </c>
      <c r="AG34" s="310">
        <v>1400</v>
      </c>
      <c r="AH34" s="312">
        <v>0.98390056485929345</v>
      </c>
      <c r="AI34" s="311">
        <v>3000</v>
      </c>
    </row>
    <row r="35" spans="3:35">
      <c r="C35" s="206">
        <v>105</v>
      </c>
      <c r="D35" s="206">
        <v>0</v>
      </c>
      <c r="F35" s="303">
        <f>C35</f>
        <v>105</v>
      </c>
      <c r="G35" s="303">
        <f>D35</f>
        <v>0</v>
      </c>
      <c r="J35" s="206">
        <v>105</v>
      </c>
      <c r="K35" s="206">
        <v>0</v>
      </c>
      <c r="M35" s="303">
        <f>J35</f>
        <v>105</v>
      </c>
      <c r="N35" s="303">
        <f>K35</f>
        <v>0</v>
      </c>
      <c r="Q35" s="206">
        <v>105</v>
      </c>
      <c r="R35" s="206">
        <f>K35*2</f>
        <v>0</v>
      </c>
      <c r="T35" s="303">
        <f>Q35</f>
        <v>105</v>
      </c>
      <c r="U35" s="303">
        <f>R35</f>
        <v>0</v>
      </c>
      <c r="X35" s="206">
        <v>105</v>
      </c>
      <c r="Y35" s="206">
        <f>K35*4</f>
        <v>0</v>
      </c>
      <c r="AA35" s="303">
        <f>X35</f>
        <v>105</v>
      </c>
      <c r="AB35" s="303">
        <f>Y35</f>
        <v>0</v>
      </c>
      <c r="AF35" s="310">
        <v>120</v>
      </c>
      <c r="AG35" s="310">
        <v>1200</v>
      </c>
      <c r="AH35" s="312">
        <v>0.97944992402658082</v>
      </c>
      <c r="AI35" s="313">
        <v>2000</v>
      </c>
    </row>
    <row r="52" spans="2:39">
      <c r="B52" s="203" t="s">
        <v>264</v>
      </c>
      <c r="AJ52" s="310"/>
      <c r="AL52" s="310"/>
      <c r="AM52" s="310"/>
    </row>
    <row r="53" spans="2:39">
      <c r="F53" s="203" t="s">
        <v>74</v>
      </c>
      <c r="G53" s="203">
        <f>SLOPE(G58:G59,F58:F59)</f>
        <v>-5.9999999999999911</v>
      </c>
      <c r="M53" s="203" t="s">
        <v>74</v>
      </c>
      <c r="N53" s="203">
        <f>SLOPE(N58:N59,M58:M59)</f>
        <v>-5.9999999999999911</v>
      </c>
      <c r="T53" s="203" t="s">
        <v>74</v>
      </c>
      <c r="U53" s="203">
        <f>SLOPE(U58:U59,T58:T59)</f>
        <v>-5.9999999999999973</v>
      </c>
      <c r="AA53" s="203" t="s">
        <v>74</v>
      </c>
      <c r="AB53" s="203">
        <f>SLOPE(AB58:AB59,AA58:AA59)</f>
        <v>-11.999999999999995</v>
      </c>
      <c r="AJ53" s="310"/>
      <c r="AL53" s="310"/>
      <c r="AM53" s="310"/>
    </row>
    <row r="54" spans="2:39">
      <c r="F54" s="203" t="s">
        <v>75</v>
      </c>
      <c r="G54" s="203">
        <f>INTERCEPT(G58:G59,F58:F59)</f>
        <v>859.99999999999909</v>
      </c>
      <c r="M54" s="203" t="s">
        <v>75</v>
      </c>
      <c r="N54" s="203">
        <f>INTERCEPT(N58:N59,M58:M59)</f>
        <v>859.99999999999909</v>
      </c>
      <c r="T54" s="203" t="s">
        <v>75</v>
      </c>
      <c r="U54" s="203">
        <f>INTERCEPT(U58:U59,T58:T59)</f>
        <v>1089.9999999999998</v>
      </c>
      <c r="AA54" s="203" t="s">
        <v>75</v>
      </c>
      <c r="AB54" s="203">
        <f>INTERCEPT(AB58:AB59,AA58:AA59)</f>
        <v>2179.9999999999995</v>
      </c>
      <c r="AJ54" s="310"/>
    </row>
    <row r="55" spans="2:39">
      <c r="C55" s="236" t="s">
        <v>149</v>
      </c>
      <c r="J55" s="203" t="s">
        <v>112</v>
      </c>
      <c r="Q55" s="203" t="s">
        <v>107</v>
      </c>
      <c r="X55" s="203" t="s">
        <v>108</v>
      </c>
      <c r="AJ55" s="310"/>
    </row>
    <row r="56" spans="2:39">
      <c r="C56" s="206" t="s">
        <v>113</v>
      </c>
      <c r="D56" s="206" t="s">
        <v>114</v>
      </c>
      <c r="F56" s="302" t="s">
        <v>262</v>
      </c>
      <c r="G56" s="302" t="s">
        <v>263</v>
      </c>
      <c r="J56" s="206" t="s">
        <v>113</v>
      </c>
      <c r="K56" s="206" t="s">
        <v>114</v>
      </c>
      <c r="M56" s="302" t="s">
        <v>262</v>
      </c>
      <c r="N56" s="302" t="s">
        <v>263</v>
      </c>
      <c r="Q56" s="206" t="s">
        <v>113</v>
      </c>
      <c r="R56" s="206" t="s">
        <v>114</v>
      </c>
      <c r="T56" s="302" t="s">
        <v>262</v>
      </c>
      <c r="U56" s="302" t="s">
        <v>263</v>
      </c>
      <c r="X56" s="206" t="s">
        <v>113</v>
      </c>
      <c r="Y56" s="206" t="s">
        <v>114</v>
      </c>
      <c r="AA56" s="302" t="s">
        <v>262</v>
      </c>
      <c r="AB56" s="302" t="s">
        <v>263</v>
      </c>
      <c r="AJ56" s="310"/>
    </row>
    <row r="57" spans="2:39">
      <c r="C57" s="206">
        <v>0</v>
      </c>
      <c r="D57" s="206">
        <v>350</v>
      </c>
      <c r="F57" s="302">
        <f>C57</f>
        <v>0</v>
      </c>
      <c r="G57" s="305">
        <v>300</v>
      </c>
      <c r="J57" s="206">
        <v>0</v>
      </c>
      <c r="K57" s="206">
        <v>350</v>
      </c>
      <c r="M57" s="302">
        <f>J57</f>
        <v>0</v>
      </c>
      <c r="N57" s="305">
        <v>300</v>
      </c>
      <c r="Q57" s="206">
        <v>0</v>
      </c>
      <c r="R57" s="206">
        <f>K57*2</f>
        <v>700</v>
      </c>
      <c r="T57" s="302">
        <f>Q57</f>
        <v>0</v>
      </c>
      <c r="U57" s="305">
        <f>U58</f>
        <v>600</v>
      </c>
      <c r="X57" s="206">
        <v>0</v>
      </c>
      <c r="Y57" s="206">
        <f>K57*4</f>
        <v>1400</v>
      </c>
      <c r="AA57" s="302">
        <f>X57</f>
        <v>0</v>
      </c>
      <c r="AB57" s="305">
        <f>AB58</f>
        <v>1200</v>
      </c>
    </row>
    <row r="58" spans="2:39">
      <c r="C58" s="235">
        <v>85</v>
      </c>
      <c r="D58" s="206">
        <v>350</v>
      </c>
      <c r="F58" s="308">
        <f>FORECAST(G58,C58:C59,D58:D59)</f>
        <v>93.333333333333314</v>
      </c>
      <c r="G58" s="305">
        <v>300</v>
      </c>
      <c r="J58" s="235">
        <v>85</v>
      </c>
      <c r="K58" s="206">
        <v>350</v>
      </c>
      <c r="M58" s="308">
        <f>FORECAST(N58,J58:J59,K58:K59)</f>
        <v>93.333333333333314</v>
      </c>
      <c r="N58" s="305">
        <v>300</v>
      </c>
      <c r="Q58" s="235">
        <v>65</v>
      </c>
      <c r="R58" s="206">
        <f>K58*2</f>
        <v>700</v>
      </c>
      <c r="T58" s="308">
        <f>FORECAST(U58,Q58:Q59,R58:R59)</f>
        <v>81.666666666666657</v>
      </c>
      <c r="U58" s="305">
        <v>600</v>
      </c>
      <c r="X58" s="235">
        <v>65</v>
      </c>
      <c r="Y58" s="206">
        <f>K58*4</f>
        <v>1400</v>
      </c>
      <c r="AA58" s="308">
        <f>FORECAST(AB58,X58:X59,Y58:Y59)</f>
        <v>81.666666666666657</v>
      </c>
      <c r="AB58" s="305">
        <v>1200</v>
      </c>
    </row>
    <row r="59" spans="2:39">
      <c r="C59" s="206">
        <v>105</v>
      </c>
      <c r="D59" s="206">
        <v>230</v>
      </c>
      <c r="F59" s="302">
        <f>C59</f>
        <v>105</v>
      </c>
      <c r="G59" s="302">
        <f>D59</f>
        <v>230</v>
      </c>
      <c r="J59" s="206">
        <v>105</v>
      </c>
      <c r="K59" s="206">
        <v>230</v>
      </c>
      <c r="M59" s="302">
        <f>J59</f>
        <v>105</v>
      </c>
      <c r="N59" s="302">
        <f>K59</f>
        <v>230</v>
      </c>
      <c r="Q59" s="206">
        <v>105</v>
      </c>
      <c r="R59" s="206">
        <f>K59*2</f>
        <v>460</v>
      </c>
      <c r="T59" s="302">
        <f>Q59</f>
        <v>105</v>
      </c>
      <c r="U59" s="302">
        <f>R59</f>
        <v>460</v>
      </c>
      <c r="X59" s="206">
        <v>105</v>
      </c>
      <c r="Y59" s="206">
        <f>K59*4</f>
        <v>920</v>
      </c>
      <c r="AA59" s="302">
        <f>X59</f>
        <v>105</v>
      </c>
      <c r="AB59" s="302">
        <f>Y59</f>
        <v>920</v>
      </c>
    </row>
    <row r="60" spans="2:39">
      <c r="C60" s="206">
        <v>105</v>
      </c>
      <c r="D60" s="206">
        <v>0</v>
      </c>
      <c r="F60" s="302">
        <f>C60</f>
        <v>105</v>
      </c>
      <c r="G60" s="302">
        <f>D60</f>
        <v>0</v>
      </c>
      <c r="J60" s="206">
        <v>105</v>
      </c>
      <c r="K60" s="206">
        <v>0</v>
      </c>
      <c r="M60" s="302">
        <f>J60</f>
        <v>105</v>
      </c>
      <c r="N60" s="302">
        <f>K60</f>
        <v>0</v>
      </c>
      <c r="Q60" s="206">
        <v>105</v>
      </c>
      <c r="R60" s="206">
        <f>K60*2</f>
        <v>0</v>
      </c>
      <c r="T60" s="302">
        <f>Q60</f>
        <v>105</v>
      </c>
      <c r="U60" s="302">
        <f>R60</f>
        <v>0</v>
      </c>
      <c r="X60" s="206">
        <v>105</v>
      </c>
      <c r="Y60" s="206">
        <f>K60*4</f>
        <v>0</v>
      </c>
      <c r="AA60" s="302">
        <f>X60</f>
        <v>105</v>
      </c>
      <c r="AB60" s="302">
        <f>Y60</f>
        <v>0</v>
      </c>
    </row>
    <row r="77" spans="2:25">
      <c r="B77" s="203" t="s">
        <v>111</v>
      </c>
    </row>
    <row r="79" spans="2:25">
      <c r="C79" s="236" t="s">
        <v>149</v>
      </c>
      <c r="J79" s="203" t="s">
        <v>112</v>
      </c>
      <c r="Q79" s="203" t="s">
        <v>107</v>
      </c>
      <c r="X79" s="203" t="s">
        <v>108</v>
      </c>
    </row>
    <row r="80" spans="2:25">
      <c r="C80" s="306" t="s">
        <v>113</v>
      </c>
      <c r="D80" s="306" t="s">
        <v>114</v>
      </c>
      <c r="J80" s="306" t="s">
        <v>113</v>
      </c>
      <c r="K80" s="306" t="s">
        <v>114</v>
      </c>
      <c r="Q80" s="306" t="s">
        <v>113</v>
      </c>
      <c r="R80" s="306" t="s">
        <v>114</v>
      </c>
      <c r="X80" s="306" t="s">
        <v>113</v>
      </c>
      <c r="Y80" s="306" t="s">
        <v>114</v>
      </c>
    </row>
    <row r="81" spans="3:28">
      <c r="C81" s="306">
        <v>0</v>
      </c>
      <c r="D81" s="306">
        <v>350</v>
      </c>
      <c r="J81" s="306">
        <v>0</v>
      </c>
      <c r="K81" s="306">
        <v>350</v>
      </c>
      <c r="Q81" s="306">
        <v>0</v>
      </c>
      <c r="R81" s="306">
        <f>K81*2</f>
        <v>700</v>
      </c>
      <c r="X81" s="306">
        <v>0</v>
      </c>
      <c r="Y81" s="306">
        <f>K81*4</f>
        <v>1400</v>
      </c>
    </row>
    <row r="82" spans="3:28">
      <c r="C82" s="307">
        <v>85</v>
      </c>
      <c r="D82" s="306">
        <v>350</v>
      </c>
      <c r="F82" s="203" t="s">
        <v>74</v>
      </c>
      <c r="G82" s="203">
        <f>SLOPE(D82:D83,C82:C83)</f>
        <v>-6</v>
      </c>
      <c r="J82" s="307">
        <v>85</v>
      </c>
      <c r="K82" s="306">
        <v>350</v>
      </c>
      <c r="M82" s="203" t="s">
        <v>74</v>
      </c>
      <c r="N82" s="203">
        <f>SLOPE(K82:K83,J82:J83)</f>
        <v>-6</v>
      </c>
      <c r="Q82" s="307">
        <v>65</v>
      </c>
      <c r="R82" s="306">
        <f>K82*2</f>
        <v>700</v>
      </c>
      <c r="T82" s="203" t="s">
        <v>74</v>
      </c>
      <c r="U82" s="203">
        <f>SLOPE(R82:R83,Q82:Q83)</f>
        <v>-6</v>
      </c>
      <c r="X82" s="307">
        <v>65</v>
      </c>
      <c r="Y82" s="306">
        <f>K82*4</f>
        <v>1400</v>
      </c>
      <c r="AA82" s="203" t="s">
        <v>74</v>
      </c>
      <c r="AB82" s="203">
        <f>SLOPE(Y82:Y83,X82:X83)</f>
        <v>-12</v>
      </c>
    </row>
    <row r="83" spans="3:28">
      <c r="C83" s="306">
        <v>105</v>
      </c>
      <c r="D83" s="306">
        <v>230</v>
      </c>
      <c r="F83" s="203" t="s">
        <v>75</v>
      </c>
      <c r="G83" s="203">
        <f>INTERCEPT(D82:D83,C82:C83)</f>
        <v>860</v>
      </c>
      <c r="J83" s="306">
        <v>105</v>
      </c>
      <c r="K83" s="306">
        <v>230</v>
      </c>
      <c r="M83" s="203" t="s">
        <v>75</v>
      </c>
      <c r="N83" s="203">
        <f>INTERCEPT(K82:K83,J82:J83)</f>
        <v>860</v>
      </c>
      <c r="Q83" s="306">
        <v>105</v>
      </c>
      <c r="R83" s="306">
        <f>K83*2</f>
        <v>460</v>
      </c>
      <c r="T83" s="203" t="s">
        <v>75</v>
      </c>
      <c r="U83" s="203">
        <f>INTERCEPT(R82:R83,Q82:Q83)</f>
        <v>1090</v>
      </c>
      <c r="X83" s="306">
        <v>105</v>
      </c>
      <c r="Y83" s="306">
        <f>K83*4</f>
        <v>920</v>
      </c>
      <c r="AA83" s="203" t="s">
        <v>75</v>
      </c>
      <c r="AB83" s="203">
        <f>INTERCEPT(Y82:Y83,X82:X83)</f>
        <v>2180</v>
      </c>
    </row>
    <row r="84" spans="3:28">
      <c r="C84" s="306">
        <v>105</v>
      </c>
      <c r="D84" s="306">
        <v>0</v>
      </c>
      <c r="J84" s="306">
        <v>105</v>
      </c>
      <c r="K84" s="306">
        <v>0</v>
      </c>
      <c r="Q84" s="306">
        <v>105</v>
      </c>
      <c r="R84" s="306">
        <f>K84*2</f>
        <v>0</v>
      </c>
      <c r="X84" s="306">
        <v>105</v>
      </c>
      <c r="Y84" s="306">
        <f>K84*4</f>
        <v>0</v>
      </c>
    </row>
    <row r="102" spans="3:28">
      <c r="C102" s="203" t="s">
        <v>266</v>
      </c>
      <c r="F102" s="203" t="s">
        <v>269</v>
      </c>
      <c r="J102" s="203" t="s">
        <v>266</v>
      </c>
      <c r="M102" s="203" t="s">
        <v>269</v>
      </c>
      <c r="Q102" s="203" t="s">
        <v>266</v>
      </c>
      <c r="T102" s="203" t="s">
        <v>269</v>
      </c>
      <c r="X102" s="203" t="s">
        <v>266</v>
      </c>
      <c r="AA102" s="203" t="s">
        <v>269</v>
      </c>
    </row>
    <row r="103" spans="3:28">
      <c r="C103" s="311" t="s">
        <v>268</v>
      </c>
      <c r="D103" s="311" t="s">
        <v>267</v>
      </c>
      <c r="F103" s="311" t="s">
        <v>268</v>
      </c>
      <c r="G103" s="311" t="s">
        <v>267</v>
      </c>
      <c r="J103" s="311" t="s">
        <v>268</v>
      </c>
      <c r="K103" s="311" t="s">
        <v>267</v>
      </c>
      <c r="M103" s="311" t="s">
        <v>268</v>
      </c>
      <c r="N103" s="311" t="s">
        <v>267</v>
      </c>
      <c r="Q103" s="311" t="s">
        <v>268</v>
      </c>
      <c r="R103" s="311" t="s">
        <v>267</v>
      </c>
      <c r="T103" s="311" t="s">
        <v>268</v>
      </c>
      <c r="U103" s="311" t="s">
        <v>267</v>
      </c>
      <c r="X103" s="311" t="s">
        <v>268</v>
      </c>
      <c r="Y103" s="311" t="s">
        <v>267</v>
      </c>
      <c r="AA103" s="311" t="s">
        <v>268</v>
      </c>
      <c r="AB103" s="311" t="s">
        <v>267</v>
      </c>
    </row>
    <row r="104" spans="3:28">
      <c r="C104" s="309">
        <v>97.505354945628639</v>
      </c>
      <c r="D104" s="309">
        <v>350</v>
      </c>
      <c r="F104" s="309">
        <v>90</v>
      </c>
      <c r="G104" s="309">
        <v>1021.5031914026682</v>
      </c>
      <c r="J104" s="309">
        <v>99.911258583457695</v>
      </c>
      <c r="K104" s="309">
        <v>350</v>
      </c>
      <c r="M104" s="309">
        <v>85</v>
      </c>
      <c r="N104" s="309">
        <v>578.64967167371776</v>
      </c>
      <c r="Q104" s="309">
        <v>97.215385710424201</v>
      </c>
      <c r="R104" s="309">
        <v>700</v>
      </c>
      <c r="T104" s="309">
        <v>85</v>
      </c>
      <c r="U104" s="309">
        <v>621.71309617099109</v>
      </c>
      <c r="X104" s="309">
        <v>91.271010425861078</v>
      </c>
      <c r="Y104" s="309">
        <v>1400</v>
      </c>
      <c r="AA104" s="309">
        <v>85</v>
      </c>
      <c r="AB104" s="309">
        <v>1234.8300416854238</v>
      </c>
    </row>
    <row r="105" spans="3:28">
      <c r="C105" s="309">
        <v>113.28248888473615</v>
      </c>
      <c r="D105" s="309">
        <v>230</v>
      </c>
      <c r="F105" s="309">
        <v>105</v>
      </c>
      <c r="G105" s="309">
        <v>802.34774484946365</v>
      </c>
      <c r="J105" s="309">
        <v>115.2413877583186</v>
      </c>
      <c r="K105" s="309">
        <v>230</v>
      </c>
      <c r="M105" s="309">
        <v>105</v>
      </c>
      <c r="N105" s="309">
        <v>471.78363999649184</v>
      </c>
      <c r="Q105" s="309">
        <v>113.59100898086922</v>
      </c>
      <c r="R105" s="309">
        <v>460</v>
      </c>
      <c r="T105" s="309">
        <v>105</v>
      </c>
      <c r="U105" s="309">
        <v>511.8932506967987</v>
      </c>
      <c r="X105" s="309">
        <v>109.95985905446892</v>
      </c>
      <c r="Y105" s="309">
        <v>920</v>
      </c>
      <c r="AA105" s="309">
        <v>105</v>
      </c>
      <c r="AB105" s="309">
        <v>1016.6908790589868</v>
      </c>
    </row>
    <row r="106" spans="3:28">
      <c r="C106" s="309">
        <v>127.14860772567259</v>
      </c>
      <c r="D106" s="309">
        <v>120</v>
      </c>
      <c r="F106" s="309">
        <v>120</v>
      </c>
      <c r="G106" s="309">
        <v>641.65012095108443</v>
      </c>
      <c r="J106" s="309">
        <v>127.99425229985762</v>
      </c>
      <c r="K106" s="309">
        <v>120</v>
      </c>
      <c r="M106" s="309">
        <v>120</v>
      </c>
      <c r="N106" s="309">
        <v>390.86335008821027</v>
      </c>
      <c r="Q106" s="309">
        <v>127.19910268029027</v>
      </c>
      <c r="R106" s="309">
        <v>240</v>
      </c>
      <c r="T106" s="309">
        <v>120</v>
      </c>
      <c r="U106" s="309">
        <v>424.98316017085222</v>
      </c>
      <c r="X106" s="309">
        <v>125.45122972886752</v>
      </c>
      <c r="Y106" s="309">
        <v>480</v>
      </c>
      <c r="AA106" s="309">
        <v>120</v>
      </c>
      <c r="AB106" s="309">
        <v>844.03470746253583</v>
      </c>
    </row>
  </sheetData>
  <sheetProtection password="A7EA" sheet="1" objects="1" scenarios="1"/>
  <phoneticPr fontId="7"/>
  <pageMargins left="0.7" right="0.7" top="0.75" bottom="0.75" header="0.3" footer="0.3"/>
  <pageSetup paperSize="9" orientation="portrait" copies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2:AM106"/>
  <sheetViews>
    <sheetView topLeftCell="K1" zoomScale="70" zoomScaleNormal="70" workbookViewId="0">
      <selection activeCell="AB3" sqref="AB3"/>
    </sheetView>
  </sheetViews>
  <sheetFormatPr defaultRowHeight="15.75"/>
  <cols>
    <col min="1" max="2" width="4" style="203" customWidth="1"/>
    <col min="3" max="16384" width="9" style="203"/>
  </cols>
  <sheetData>
    <row r="2" spans="2:28">
      <c r="B2" s="203" t="s">
        <v>265</v>
      </c>
      <c r="T2" s="317">
        <v>350</v>
      </c>
      <c r="U2" s="317">
        <v>119.9</v>
      </c>
      <c r="AA2" s="317">
        <v>700</v>
      </c>
      <c r="AB2" s="317">
        <v>117.3</v>
      </c>
    </row>
    <row r="3" spans="2:28">
      <c r="F3" s="687" t="s">
        <v>74</v>
      </c>
      <c r="G3" s="687">
        <f>SLOPE(G8:G9,F8:F9)</f>
        <v>-5.9999999999999911</v>
      </c>
      <c r="M3" s="687" t="s">
        <v>74</v>
      </c>
      <c r="N3" s="687">
        <f>SLOPE(N8:N9,M8:M9)</f>
        <v>-5.9999999999999911</v>
      </c>
      <c r="T3" s="687" t="s">
        <v>74</v>
      </c>
      <c r="U3" s="688">
        <f>SLOPE(U8:U9,T8:T9)</f>
        <v>-7</v>
      </c>
      <c r="AA3" s="687" t="s">
        <v>74</v>
      </c>
      <c r="AB3" s="688">
        <f>SLOPE(AB8:AB9,AA8:AA9)</f>
        <v>-14</v>
      </c>
    </row>
    <row r="4" spans="2:28">
      <c r="F4" s="687" t="s">
        <v>75</v>
      </c>
      <c r="G4" s="687">
        <f>INTERCEPT(G8:G9,F8:F9)</f>
        <v>859.99999999999909</v>
      </c>
      <c r="M4" s="687" t="s">
        <v>75</v>
      </c>
      <c r="N4" s="687">
        <f>INTERCEPT(N8:N9,M8:M9)</f>
        <v>859.99999999999909</v>
      </c>
      <c r="T4" s="687" t="s">
        <v>75</v>
      </c>
      <c r="U4" s="688">
        <f>INTERCEPT(U8:U9,T8:T9)</f>
        <v>1195</v>
      </c>
      <c r="AA4" s="687" t="s">
        <v>75</v>
      </c>
      <c r="AB4" s="688">
        <f>INTERCEPT(AB8:AB9,AA8:AA9)</f>
        <v>2390</v>
      </c>
    </row>
    <row r="5" spans="2:28">
      <c r="C5" s="236" t="s">
        <v>177</v>
      </c>
      <c r="J5" s="203" t="s">
        <v>112</v>
      </c>
      <c r="Q5" s="203" t="s">
        <v>107</v>
      </c>
      <c r="X5" s="203" t="s">
        <v>108</v>
      </c>
    </row>
    <row r="6" spans="2:28">
      <c r="C6" s="206" t="s">
        <v>113</v>
      </c>
      <c r="D6" s="206" t="s">
        <v>114</v>
      </c>
      <c r="F6" s="303" t="s">
        <v>262</v>
      </c>
      <c r="G6" s="303" t="s">
        <v>263</v>
      </c>
      <c r="J6" s="206" t="s">
        <v>113</v>
      </c>
      <c r="K6" s="206" t="s">
        <v>114</v>
      </c>
      <c r="M6" s="303" t="s">
        <v>262</v>
      </c>
      <c r="N6" s="303" t="s">
        <v>263</v>
      </c>
      <c r="Q6" s="206" t="s">
        <v>113</v>
      </c>
      <c r="R6" s="206" t="s">
        <v>114</v>
      </c>
      <c r="T6" s="303" t="s">
        <v>262</v>
      </c>
      <c r="U6" s="303" t="s">
        <v>263</v>
      </c>
      <c r="X6" s="206" t="s">
        <v>113</v>
      </c>
      <c r="Y6" s="206" t="s">
        <v>114</v>
      </c>
      <c r="AA6" s="303" t="s">
        <v>262</v>
      </c>
      <c r="AB6" s="303" t="s">
        <v>263</v>
      </c>
    </row>
    <row r="7" spans="2:28">
      <c r="C7" s="206">
        <v>0</v>
      </c>
      <c r="D7" s="206">
        <v>350</v>
      </c>
      <c r="F7" s="303">
        <f>C7</f>
        <v>0</v>
      </c>
      <c r="G7" s="303">
        <v>300</v>
      </c>
      <c r="J7" s="206">
        <v>0</v>
      </c>
      <c r="K7" s="206">
        <v>350</v>
      </c>
      <c r="M7" s="303">
        <f>J7</f>
        <v>0</v>
      </c>
      <c r="N7" s="303">
        <v>300</v>
      </c>
      <c r="Q7" s="206">
        <v>0</v>
      </c>
      <c r="R7" s="206">
        <f>K7*2</f>
        <v>700</v>
      </c>
      <c r="T7" s="303">
        <f>Q7</f>
        <v>0</v>
      </c>
      <c r="U7" s="303">
        <f>U8</f>
        <v>600</v>
      </c>
      <c r="X7" s="206">
        <v>0</v>
      </c>
      <c r="Y7" s="206">
        <f>K7*4</f>
        <v>1400</v>
      </c>
      <c r="AA7" s="303">
        <f>X7</f>
        <v>0</v>
      </c>
      <c r="AB7" s="303">
        <f>AB8</f>
        <v>1200</v>
      </c>
    </row>
    <row r="8" spans="2:28">
      <c r="C8" s="235">
        <v>85</v>
      </c>
      <c r="D8" s="206">
        <v>350</v>
      </c>
      <c r="F8" s="304">
        <f>FORECAST(G8,C8:C9,D8:D9)</f>
        <v>93.333333333333314</v>
      </c>
      <c r="G8" s="314">
        <v>300</v>
      </c>
      <c r="J8" s="235">
        <v>85</v>
      </c>
      <c r="K8" s="206">
        <v>350</v>
      </c>
      <c r="M8" s="304">
        <f>FORECAST(N8,J8:J9,K8:K9)</f>
        <v>93.333333333333314</v>
      </c>
      <c r="N8" s="314">
        <v>300</v>
      </c>
      <c r="Q8" s="235">
        <v>65</v>
      </c>
      <c r="R8" s="206">
        <f>K8*2</f>
        <v>700</v>
      </c>
      <c r="T8" s="315">
        <v>85</v>
      </c>
      <c r="U8" s="314">
        <v>600</v>
      </c>
      <c r="X8" s="235">
        <v>65</v>
      </c>
      <c r="Y8" s="206">
        <f>K8*4</f>
        <v>1400</v>
      </c>
      <c r="AA8" s="315">
        <v>85</v>
      </c>
      <c r="AB8" s="314">
        <v>1200</v>
      </c>
    </row>
    <row r="9" spans="2:28">
      <c r="C9" s="206">
        <v>105</v>
      </c>
      <c r="D9" s="206">
        <v>230</v>
      </c>
      <c r="F9" s="303">
        <f>C9</f>
        <v>105</v>
      </c>
      <c r="G9" s="303">
        <f>D9</f>
        <v>230</v>
      </c>
      <c r="J9" s="206">
        <v>105</v>
      </c>
      <c r="K9" s="206">
        <v>230</v>
      </c>
      <c r="M9" s="303">
        <f>J9</f>
        <v>105</v>
      </c>
      <c r="N9" s="303">
        <f>K9</f>
        <v>230</v>
      </c>
      <c r="Q9" s="206">
        <v>105</v>
      </c>
      <c r="R9" s="206">
        <f>K9*2</f>
        <v>460</v>
      </c>
      <c r="T9" s="303">
        <f>Q9</f>
        <v>105</v>
      </c>
      <c r="U9" s="303">
        <f>R9</f>
        <v>460</v>
      </c>
      <c r="X9" s="206">
        <v>105</v>
      </c>
      <c r="Y9" s="206">
        <f>K9*4</f>
        <v>920</v>
      </c>
      <c r="AA9" s="303">
        <f>X9</f>
        <v>105</v>
      </c>
      <c r="AB9" s="303">
        <f>Y9</f>
        <v>920</v>
      </c>
    </row>
    <row r="10" spans="2:28">
      <c r="C10" s="206">
        <v>105</v>
      </c>
      <c r="D10" s="206">
        <v>0</v>
      </c>
      <c r="F10" s="303">
        <f>C10</f>
        <v>105</v>
      </c>
      <c r="G10" s="303">
        <f>D10</f>
        <v>0</v>
      </c>
      <c r="J10" s="206">
        <v>105</v>
      </c>
      <c r="K10" s="206">
        <v>0</v>
      </c>
      <c r="M10" s="303">
        <f>J10</f>
        <v>105</v>
      </c>
      <c r="N10" s="303">
        <f>K10</f>
        <v>0</v>
      </c>
      <c r="Q10" s="206">
        <v>105</v>
      </c>
      <c r="R10" s="206">
        <f>K10*2</f>
        <v>0</v>
      </c>
      <c r="T10" s="303">
        <f>Q10</f>
        <v>105</v>
      </c>
      <c r="U10" s="303">
        <f>R10</f>
        <v>0</v>
      </c>
      <c r="X10" s="206">
        <v>105</v>
      </c>
      <c r="Y10" s="206">
        <f>K10*4</f>
        <v>0</v>
      </c>
      <c r="AA10" s="303">
        <f>X10</f>
        <v>105</v>
      </c>
      <c r="AB10" s="303">
        <f>Y10</f>
        <v>0</v>
      </c>
    </row>
    <row r="27" spans="2:39">
      <c r="B27" s="203" t="s">
        <v>265</v>
      </c>
      <c r="S27" s="203">
        <v>81.6666666666667</v>
      </c>
      <c r="AF27" s="310" t="s">
        <v>270</v>
      </c>
      <c r="AG27" s="310" t="s">
        <v>271</v>
      </c>
      <c r="AH27" s="311" t="s">
        <v>273</v>
      </c>
      <c r="AI27" s="311" t="s">
        <v>272</v>
      </c>
      <c r="AJ27" s="310"/>
      <c r="AL27" s="310"/>
      <c r="AM27" s="310"/>
    </row>
    <row r="28" spans="2:39">
      <c r="F28" s="203" t="s">
        <v>74</v>
      </c>
      <c r="G28" s="203">
        <f>SLOPE(G33:G34,F33:F34)</f>
        <v>-5.9999999999999911</v>
      </c>
      <c r="M28" s="203" t="s">
        <v>74</v>
      </c>
      <c r="N28" s="203">
        <f>SLOPE(N33:N34,M33:M34)</f>
        <v>-5.9999999999999911</v>
      </c>
      <c r="T28" s="203" t="s">
        <v>74</v>
      </c>
      <c r="U28" s="203">
        <f>SLOPE(U33:U34,T33:T34)</f>
        <v>-5.9999999999999973</v>
      </c>
      <c r="AA28" s="203" t="s">
        <v>74</v>
      </c>
      <c r="AB28" s="203">
        <f>SLOPE(AB33:AB34,AA33:AA34)</f>
        <v>-11.999999999999995</v>
      </c>
      <c r="AF28" s="310">
        <v>85</v>
      </c>
      <c r="AG28" s="310">
        <v>1080</v>
      </c>
      <c r="AH28" s="312">
        <v>0.97651678409689591</v>
      </c>
      <c r="AI28" s="311">
        <v>3000</v>
      </c>
      <c r="AJ28" s="310"/>
      <c r="AL28" s="310"/>
      <c r="AM28" s="310"/>
    </row>
    <row r="29" spans="2:39">
      <c r="F29" s="203" t="s">
        <v>75</v>
      </c>
      <c r="G29" s="203">
        <f>INTERCEPT(G33:G34,F33:F34)</f>
        <v>859.99999999999909</v>
      </c>
      <c r="M29" s="203" t="s">
        <v>75</v>
      </c>
      <c r="N29" s="203">
        <f>INTERCEPT(N33:N34,M33:M34)</f>
        <v>859.99999999999909</v>
      </c>
      <c r="T29" s="203" t="s">
        <v>75</v>
      </c>
      <c r="U29" s="203">
        <f>INTERCEPT(U33:U34,T33:T34)</f>
        <v>1089.9999999999998</v>
      </c>
      <c r="AA29" s="203" t="s">
        <v>75</v>
      </c>
      <c r="AB29" s="203">
        <f>INTERCEPT(AB33:AB34,AA33:AA34)</f>
        <v>2179.9999999999995</v>
      </c>
      <c r="AF29" s="310">
        <v>85</v>
      </c>
      <c r="AG29" s="310">
        <v>1200</v>
      </c>
      <c r="AH29" s="312">
        <v>0.96386429386959604</v>
      </c>
      <c r="AI29" s="311">
        <v>3000</v>
      </c>
      <c r="AJ29" s="310"/>
    </row>
    <row r="30" spans="2:39">
      <c r="C30" s="236" t="s">
        <v>149</v>
      </c>
      <c r="J30" s="203" t="s">
        <v>112</v>
      </c>
      <c r="Q30" s="203" t="s">
        <v>107</v>
      </c>
      <c r="X30" s="203" t="s">
        <v>108</v>
      </c>
      <c r="AF30" s="310">
        <v>85</v>
      </c>
      <c r="AG30" s="310">
        <v>1400</v>
      </c>
      <c r="AH30" s="312">
        <v>0.96176231602183859</v>
      </c>
      <c r="AI30" s="311">
        <v>3000</v>
      </c>
      <c r="AJ30" s="310"/>
    </row>
    <row r="31" spans="2:39">
      <c r="C31" s="206" t="s">
        <v>113</v>
      </c>
      <c r="D31" s="206" t="s">
        <v>114</v>
      </c>
      <c r="F31" s="303" t="s">
        <v>262</v>
      </c>
      <c r="G31" s="303" t="s">
        <v>263</v>
      </c>
      <c r="H31" s="310" t="s">
        <v>274</v>
      </c>
      <c r="I31" s="310" t="s">
        <v>275</v>
      </c>
      <c r="J31" s="206" t="s">
        <v>113</v>
      </c>
      <c r="K31" s="206" t="s">
        <v>114</v>
      </c>
      <c r="M31" s="303" t="s">
        <v>262</v>
      </c>
      <c r="N31" s="303" t="s">
        <v>263</v>
      </c>
      <c r="O31" s="310" t="s">
        <v>274</v>
      </c>
      <c r="P31" s="310" t="s">
        <v>275</v>
      </c>
      <c r="Q31" s="206" t="s">
        <v>113</v>
      </c>
      <c r="R31" s="206" t="s">
        <v>114</v>
      </c>
      <c r="T31" s="303" t="s">
        <v>262</v>
      </c>
      <c r="U31" s="303" t="s">
        <v>263</v>
      </c>
      <c r="V31" s="310" t="s">
        <v>274</v>
      </c>
      <c r="W31" s="310" t="s">
        <v>275</v>
      </c>
      <c r="X31" s="206" t="s">
        <v>113</v>
      </c>
      <c r="Y31" s="206" t="s">
        <v>114</v>
      </c>
      <c r="AA31" s="303" t="s">
        <v>262</v>
      </c>
      <c r="AB31" s="303" t="s">
        <v>263</v>
      </c>
      <c r="AC31" s="310" t="s">
        <v>274</v>
      </c>
      <c r="AD31" s="310" t="s">
        <v>275</v>
      </c>
      <c r="AF31" s="310">
        <v>85</v>
      </c>
      <c r="AG31" s="310">
        <v>1600</v>
      </c>
      <c r="AH31" s="312">
        <v>0.9642967277564195</v>
      </c>
      <c r="AI31" s="311">
        <v>3000</v>
      </c>
      <c r="AJ31" s="310"/>
    </row>
    <row r="32" spans="2:39">
      <c r="C32" s="206">
        <v>0</v>
      </c>
      <c r="D32" s="206">
        <v>350</v>
      </c>
      <c r="F32" s="303">
        <f>C32</f>
        <v>0</v>
      </c>
      <c r="G32" s="314">
        <v>300</v>
      </c>
      <c r="J32" s="206">
        <v>0</v>
      </c>
      <c r="K32" s="206">
        <v>350</v>
      </c>
      <c r="M32" s="303">
        <f>J32</f>
        <v>0</v>
      </c>
      <c r="N32" s="314">
        <v>300</v>
      </c>
      <c r="Q32" s="206">
        <v>0</v>
      </c>
      <c r="R32" s="206">
        <f>K32*2</f>
        <v>700</v>
      </c>
      <c r="T32" s="303">
        <f>Q32</f>
        <v>0</v>
      </c>
      <c r="U32" s="314">
        <f>U33</f>
        <v>600</v>
      </c>
      <c r="X32" s="206">
        <v>0</v>
      </c>
      <c r="Y32" s="206">
        <f>K32*4</f>
        <v>1400</v>
      </c>
      <c r="AA32" s="303">
        <f>X32</f>
        <v>0</v>
      </c>
      <c r="AB32" s="314">
        <f>AB33</f>
        <v>1200</v>
      </c>
      <c r="AF32" s="310">
        <v>105</v>
      </c>
      <c r="AG32" s="310">
        <v>920</v>
      </c>
      <c r="AH32" s="312">
        <v>0.97003975817046817</v>
      </c>
      <c r="AI32" s="311">
        <v>3000</v>
      </c>
    </row>
    <row r="33" spans="3:35">
      <c r="C33" s="235">
        <v>85</v>
      </c>
      <c r="D33" s="206">
        <v>350</v>
      </c>
      <c r="F33" s="315">
        <f>FORECAST(G33,C33:C34,D33:D34)</f>
        <v>93.333333333333314</v>
      </c>
      <c r="G33" s="314">
        <v>300</v>
      </c>
      <c r="H33" s="203">
        <v>144.1332823507289</v>
      </c>
      <c r="I33" s="203">
        <v>129</v>
      </c>
      <c r="J33" s="235">
        <v>85</v>
      </c>
      <c r="K33" s="206">
        <v>350</v>
      </c>
      <c r="M33" s="315">
        <f>FORECAST(N33,J33:J34,K33:K34)</f>
        <v>93.333333333333314</v>
      </c>
      <c r="N33" s="314">
        <v>300</v>
      </c>
      <c r="O33" s="203">
        <v>162.82385492232896</v>
      </c>
      <c r="P33" s="203">
        <v>127</v>
      </c>
      <c r="Q33" s="235">
        <v>65</v>
      </c>
      <c r="R33" s="206">
        <f>K33*2</f>
        <v>700</v>
      </c>
      <c r="T33" s="315">
        <f>FORECAST(U33,Q33:Q34,R33:R34)</f>
        <v>81.666666666666657</v>
      </c>
      <c r="U33" s="314">
        <v>600</v>
      </c>
      <c r="V33" s="203">
        <v>197.69609147064691</v>
      </c>
      <c r="W33" s="203">
        <v>118</v>
      </c>
      <c r="X33" s="235">
        <v>65</v>
      </c>
      <c r="Y33" s="206">
        <f>K33*4</f>
        <v>1400</v>
      </c>
      <c r="AA33" s="315">
        <f>FORECAST(AB33,X33:X34,Y33:Y34)</f>
        <v>81.666666666666657</v>
      </c>
      <c r="AB33" s="314">
        <v>1200</v>
      </c>
      <c r="AC33" s="203">
        <v>198.45230070452541</v>
      </c>
      <c r="AD33" s="203">
        <v>123</v>
      </c>
      <c r="AF33" s="310">
        <v>105</v>
      </c>
      <c r="AG33" s="310">
        <v>1080</v>
      </c>
      <c r="AH33" s="312">
        <v>0.9853073729119276</v>
      </c>
      <c r="AI33" s="311">
        <v>3000</v>
      </c>
    </row>
    <row r="34" spans="3:35">
      <c r="C34" s="206">
        <v>105</v>
      </c>
      <c r="D34" s="206">
        <v>230</v>
      </c>
      <c r="F34" s="303">
        <f>C34</f>
        <v>105</v>
      </c>
      <c r="G34" s="303">
        <f>D34</f>
        <v>230</v>
      </c>
      <c r="H34" s="203">
        <v>148.73791601641076</v>
      </c>
      <c r="I34" s="203">
        <v>132</v>
      </c>
      <c r="J34" s="206">
        <v>105</v>
      </c>
      <c r="K34" s="206">
        <v>230</v>
      </c>
      <c r="M34" s="303">
        <f>J34</f>
        <v>105</v>
      </c>
      <c r="N34" s="303">
        <f>K34</f>
        <v>230</v>
      </c>
      <c r="O34" s="203">
        <v>162.35871631560761</v>
      </c>
      <c r="P34" s="203">
        <v>130</v>
      </c>
      <c r="Q34" s="206">
        <v>105</v>
      </c>
      <c r="R34" s="206">
        <f>K34*2</f>
        <v>460</v>
      </c>
      <c r="T34" s="303">
        <f>Q34</f>
        <v>105</v>
      </c>
      <c r="U34" s="303">
        <f>R34</f>
        <v>460</v>
      </c>
      <c r="V34" s="203">
        <v>196.25767471358682</v>
      </c>
      <c r="W34" s="203">
        <v>132</v>
      </c>
      <c r="X34" s="206">
        <v>105</v>
      </c>
      <c r="Y34" s="206">
        <f>K34*4</f>
        <v>920</v>
      </c>
      <c r="AA34" s="303">
        <f>X34</f>
        <v>105</v>
      </c>
      <c r="AB34" s="303">
        <f>Y34</f>
        <v>920</v>
      </c>
      <c r="AC34" s="203">
        <v>196.81162270721626</v>
      </c>
      <c r="AD34" s="203">
        <v>135</v>
      </c>
      <c r="AF34" s="310">
        <v>105</v>
      </c>
      <c r="AG34" s="310">
        <v>1400</v>
      </c>
      <c r="AH34" s="312">
        <v>0.98390056485929345</v>
      </c>
      <c r="AI34" s="311">
        <v>3000</v>
      </c>
    </row>
    <row r="35" spans="3:35">
      <c r="C35" s="206">
        <v>105</v>
      </c>
      <c r="D35" s="206">
        <v>0</v>
      </c>
      <c r="F35" s="303">
        <f>C35</f>
        <v>105</v>
      </c>
      <c r="G35" s="303">
        <f>D35</f>
        <v>0</v>
      </c>
      <c r="J35" s="206">
        <v>105</v>
      </c>
      <c r="K35" s="206">
        <v>0</v>
      </c>
      <c r="M35" s="303">
        <f>J35</f>
        <v>105</v>
      </c>
      <c r="N35" s="303">
        <f>K35</f>
        <v>0</v>
      </c>
      <c r="Q35" s="206">
        <v>105</v>
      </c>
      <c r="R35" s="206">
        <f>K35*2</f>
        <v>0</v>
      </c>
      <c r="T35" s="303">
        <f>Q35</f>
        <v>105</v>
      </c>
      <c r="U35" s="303">
        <f>R35</f>
        <v>0</v>
      </c>
      <c r="X35" s="206">
        <v>105</v>
      </c>
      <c r="Y35" s="206">
        <f>K35*4</f>
        <v>0</v>
      </c>
      <c r="AA35" s="303">
        <f>X35</f>
        <v>105</v>
      </c>
      <c r="AB35" s="303">
        <f>Y35</f>
        <v>0</v>
      </c>
      <c r="AF35" s="310">
        <v>120</v>
      </c>
      <c r="AG35" s="310">
        <v>1200</v>
      </c>
      <c r="AH35" s="312">
        <v>0.97944992402658082</v>
      </c>
      <c r="AI35" s="313">
        <v>2000</v>
      </c>
    </row>
    <row r="52" spans="2:39">
      <c r="B52" s="203" t="s">
        <v>264</v>
      </c>
      <c r="AJ52" s="310"/>
      <c r="AL52" s="310"/>
      <c r="AM52" s="310"/>
    </row>
    <row r="53" spans="2:39">
      <c r="F53" s="203" t="s">
        <v>74</v>
      </c>
      <c r="G53" s="203">
        <f>SLOPE(G58:G59,F58:F59)</f>
        <v>-5.9999999999999911</v>
      </c>
      <c r="M53" s="203" t="s">
        <v>74</v>
      </c>
      <c r="N53" s="203">
        <f>SLOPE(N58:N59,M58:M59)</f>
        <v>-5.9999999999999911</v>
      </c>
      <c r="T53" s="203" t="s">
        <v>74</v>
      </c>
      <c r="U53" s="203">
        <f>SLOPE(U58:U59,T58:T59)</f>
        <v>-5.9999999999999973</v>
      </c>
      <c r="AA53" s="203" t="s">
        <v>74</v>
      </c>
      <c r="AB53" s="203">
        <f>SLOPE(AB58:AB59,AA58:AA59)</f>
        <v>-11.999999999999995</v>
      </c>
      <c r="AJ53" s="310"/>
      <c r="AL53" s="310"/>
      <c r="AM53" s="310"/>
    </row>
    <row r="54" spans="2:39">
      <c r="F54" s="203" t="s">
        <v>75</v>
      </c>
      <c r="G54" s="203">
        <f>INTERCEPT(G58:G59,F58:F59)</f>
        <v>859.99999999999909</v>
      </c>
      <c r="M54" s="203" t="s">
        <v>75</v>
      </c>
      <c r="N54" s="203">
        <f>INTERCEPT(N58:N59,M58:M59)</f>
        <v>859.99999999999909</v>
      </c>
      <c r="T54" s="203" t="s">
        <v>75</v>
      </c>
      <c r="U54" s="203">
        <f>INTERCEPT(U58:U59,T58:T59)</f>
        <v>1089.9999999999998</v>
      </c>
      <c r="AA54" s="203" t="s">
        <v>75</v>
      </c>
      <c r="AB54" s="203">
        <f>INTERCEPT(AB58:AB59,AA58:AA59)</f>
        <v>2179.9999999999995</v>
      </c>
      <c r="AJ54" s="310"/>
    </row>
    <row r="55" spans="2:39">
      <c r="C55" s="236" t="s">
        <v>177</v>
      </c>
      <c r="J55" s="203" t="s">
        <v>112</v>
      </c>
      <c r="Q55" s="203" t="s">
        <v>107</v>
      </c>
      <c r="X55" s="203" t="s">
        <v>108</v>
      </c>
      <c r="AJ55" s="310"/>
    </row>
    <row r="56" spans="2:39">
      <c r="C56" s="206" t="s">
        <v>113</v>
      </c>
      <c r="D56" s="206" t="s">
        <v>114</v>
      </c>
      <c r="F56" s="302" t="s">
        <v>262</v>
      </c>
      <c r="G56" s="302" t="s">
        <v>263</v>
      </c>
      <c r="J56" s="206" t="s">
        <v>113</v>
      </c>
      <c r="K56" s="206" t="s">
        <v>114</v>
      </c>
      <c r="M56" s="302" t="s">
        <v>262</v>
      </c>
      <c r="N56" s="302" t="s">
        <v>263</v>
      </c>
      <c r="Q56" s="206" t="s">
        <v>113</v>
      </c>
      <c r="R56" s="206" t="s">
        <v>114</v>
      </c>
      <c r="T56" s="302" t="s">
        <v>262</v>
      </c>
      <c r="U56" s="302" t="s">
        <v>263</v>
      </c>
      <c r="X56" s="206" t="s">
        <v>113</v>
      </c>
      <c r="Y56" s="206" t="s">
        <v>114</v>
      </c>
      <c r="AA56" s="302" t="s">
        <v>262</v>
      </c>
      <c r="AB56" s="302" t="s">
        <v>263</v>
      </c>
      <c r="AJ56" s="310"/>
    </row>
    <row r="57" spans="2:39">
      <c r="C57" s="206">
        <v>0</v>
      </c>
      <c r="D57" s="206">
        <v>350</v>
      </c>
      <c r="F57" s="302">
        <f>C57</f>
        <v>0</v>
      </c>
      <c r="G57" s="305">
        <v>300</v>
      </c>
      <c r="J57" s="206">
        <v>0</v>
      </c>
      <c r="K57" s="206">
        <v>350</v>
      </c>
      <c r="M57" s="302">
        <f>J57</f>
        <v>0</v>
      </c>
      <c r="N57" s="305">
        <v>300</v>
      </c>
      <c r="Q57" s="206">
        <v>0</v>
      </c>
      <c r="R57" s="206">
        <f>K57*2</f>
        <v>700</v>
      </c>
      <c r="T57" s="302">
        <f>Q57</f>
        <v>0</v>
      </c>
      <c r="U57" s="305">
        <f>U58</f>
        <v>600</v>
      </c>
      <c r="X57" s="206">
        <v>0</v>
      </c>
      <c r="Y57" s="206">
        <f>K57*4</f>
        <v>1400</v>
      </c>
      <c r="AA57" s="302">
        <f>X57</f>
        <v>0</v>
      </c>
      <c r="AB57" s="305">
        <f>AB58</f>
        <v>1200</v>
      </c>
    </row>
    <row r="58" spans="2:39">
      <c r="C58" s="235">
        <v>85</v>
      </c>
      <c r="D58" s="206">
        <v>350</v>
      </c>
      <c r="F58" s="308">
        <f>FORECAST(G58,C58:C59,D58:D59)</f>
        <v>93.333333333333314</v>
      </c>
      <c r="G58" s="305">
        <v>300</v>
      </c>
      <c r="J58" s="235">
        <v>85</v>
      </c>
      <c r="K58" s="206">
        <v>350</v>
      </c>
      <c r="M58" s="308">
        <f>FORECAST(N58,J58:J59,K58:K59)</f>
        <v>93.333333333333314</v>
      </c>
      <c r="N58" s="305">
        <v>300</v>
      </c>
      <c r="Q58" s="235">
        <v>65</v>
      </c>
      <c r="R58" s="206">
        <f>K58*2</f>
        <v>700</v>
      </c>
      <c r="T58" s="308">
        <f>FORECAST(U58,Q58:Q59,R58:R59)</f>
        <v>81.666666666666657</v>
      </c>
      <c r="U58" s="305">
        <v>600</v>
      </c>
      <c r="X58" s="235">
        <v>65</v>
      </c>
      <c r="Y58" s="206">
        <f>K58*4</f>
        <v>1400</v>
      </c>
      <c r="AA58" s="308">
        <f>FORECAST(AB58,X58:X59,Y58:Y59)</f>
        <v>81.666666666666657</v>
      </c>
      <c r="AB58" s="305">
        <v>1200</v>
      </c>
    </row>
    <row r="59" spans="2:39">
      <c r="C59" s="206">
        <v>105</v>
      </c>
      <c r="D59" s="206">
        <v>230</v>
      </c>
      <c r="F59" s="302">
        <f>C59</f>
        <v>105</v>
      </c>
      <c r="G59" s="302">
        <f>D59</f>
        <v>230</v>
      </c>
      <c r="J59" s="206">
        <v>105</v>
      </c>
      <c r="K59" s="206">
        <v>230</v>
      </c>
      <c r="M59" s="302">
        <f>J59</f>
        <v>105</v>
      </c>
      <c r="N59" s="302">
        <f>K59</f>
        <v>230</v>
      </c>
      <c r="Q59" s="206">
        <v>105</v>
      </c>
      <c r="R59" s="206">
        <f>K59*2</f>
        <v>460</v>
      </c>
      <c r="T59" s="302">
        <f>Q59</f>
        <v>105</v>
      </c>
      <c r="U59" s="302">
        <f>R59</f>
        <v>460</v>
      </c>
      <c r="X59" s="206">
        <v>105</v>
      </c>
      <c r="Y59" s="206">
        <f>K59*4</f>
        <v>920</v>
      </c>
      <c r="AA59" s="302">
        <f>X59</f>
        <v>105</v>
      </c>
      <c r="AB59" s="302">
        <f>Y59</f>
        <v>920</v>
      </c>
    </row>
    <row r="60" spans="2:39">
      <c r="C60" s="206">
        <v>105</v>
      </c>
      <c r="D60" s="206">
        <v>0</v>
      </c>
      <c r="F60" s="302">
        <f>C60</f>
        <v>105</v>
      </c>
      <c r="G60" s="302">
        <f>D60</f>
        <v>0</v>
      </c>
      <c r="J60" s="206">
        <v>105</v>
      </c>
      <c r="K60" s="206">
        <v>0</v>
      </c>
      <c r="M60" s="302">
        <f>J60</f>
        <v>105</v>
      </c>
      <c r="N60" s="302">
        <f>K60</f>
        <v>0</v>
      </c>
      <c r="Q60" s="206">
        <v>105</v>
      </c>
      <c r="R60" s="206">
        <f>K60*2</f>
        <v>0</v>
      </c>
      <c r="T60" s="302">
        <f>Q60</f>
        <v>105</v>
      </c>
      <c r="U60" s="302">
        <f>R60</f>
        <v>0</v>
      </c>
      <c r="X60" s="206">
        <v>105</v>
      </c>
      <c r="Y60" s="206">
        <f>K60*4</f>
        <v>0</v>
      </c>
      <c r="AA60" s="302">
        <f>X60</f>
        <v>105</v>
      </c>
      <c r="AB60" s="302">
        <f>Y60</f>
        <v>0</v>
      </c>
    </row>
    <row r="77" spans="2:25">
      <c r="B77" s="203" t="s">
        <v>111</v>
      </c>
    </row>
    <row r="79" spans="2:25">
      <c r="C79" s="236" t="s">
        <v>177</v>
      </c>
      <c r="J79" s="203" t="s">
        <v>112</v>
      </c>
      <c r="Q79" s="203" t="s">
        <v>107</v>
      </c>
      <c r="X79" s="203" t="s">
        <v>108</v>
      </c>
    </row>
    <row r="80" spans="2:25">
      <c r="C80" s="306" t="s">
        <v>113</v>
      </c>
      <c r="D80" s="306" t="s">
        <v>114</v>
      </c>
      <c r="J80" s="306" t="s">
        <v>113</v>
      </c>
      <c r="K80" s="306" t="s">
        <v>114</v>
      </c>
      <c r="Q80" s="306" t="s">
        <v>113</v>
      </c>
      <c r="R80" s="306" t="s">
        <v>114</v>
      </c>
      <c r="X80" s="306" t="s">
        <v>113</v>
      </c>
      <c r="Y80" s="306" t="s">
        <v>114</v>
      </c>
    </row>
    <row r="81" spans="3:28">
      <c r="C81" s="306">
        <v>0</v>
      </c>
      <c r="D81" s="306">
        <v>350</v>
      </c>
      <c r="J81" s="306">
        <v>0</v>
      </c>
      <c r="K81" s="306">
        <v>350</v>
      </c>
      <c r="Q81" s="306">
        <v>0</v>
      </c>
      <c r="R81" s="306">
        <f>K81*2</f>
        <v>700</v>
      </c>
      <c r="X81" s="306">
        <v>0</v>
      </c>
      <c r="Y81" s="306">
        <f>K81*4</f>
        <v>1400</v>
      </c>
    </row>
    <row r="82" spans="3:28">
      <c r="C82" s="307">
        <v>85</v>
      </c>
      <c r="D82" s="306">
        <v>350</v>
      </c>
      <c r="F82" s="203" t="s">
        <v>74</v>
      </c>
      <c r="G82" s="203">
        <f>SLOPE(D82:D83,C82:C83)</f>
        <v>-6</v>
      </c>
      <c r="J82" s="307">
        <v>85</v>
      </c>
      <c r="K82" s="306">
        <v>350</v>
      </c>
      <c r="M82" s="203" t="s">
        <v>74</v>
      </c>
      <c r="N82" s="203">
        <f>SLOPE(K82:K83,J82:J83)</f>
        <v>-6</v>
      </c>
      <c r="Q82" s="307">
        <v>65</v>
      </c>
      <c r="R82" s="306">
        <f>K82*2</f>
        <v>700</v>
      </c>
      <c r="T82" s="203" t="s">
        <v>74</v>
      </c>
      <c r="U82" s="203">
        <f>SLOPE(R82:R83,Q82:Q83)</f>
        <v>-6</v>
      </c>
      <c r="X82" s="307">
        <v>65</v>
      </c>
      <c r="Y82" s="306">
        <f>K82*4</f>
        <v>1400</v>
      </c>
      <c r="AA82" s="203" t="s">
        <v>74</v>
      </c>
      <c r="AB82" s="203">
        <f>SLOPE(Y82:Y83,X82:X83)</f>
        <v>-12</v>
      </c>
    </row>
    <row r="83" spans="3:28">
      <c r="C83" s="306">
        <v>105</v>
      </c>
      <c r="D83" s="306">
        <v>230</v>
      </c>
      <c r="F83" s="203" t="s">
        <v>75</v>
      </c>
      <c r="G83" s="203">
        <f>INTERCEPT(D82:D83,C82:C83)</f>
        <v>860</v>
      </c>
      <c r="J83" s="306">
        <v>105</v>
      </c>
      <c r="K83" s="306">
        <v>230</v>
      </c>
      <c r="M83" s="203" t="s">
        <v>75</v>
      </c>
      <c r="N83" s="203">
        <f>INTERCEPT(K82:K83,J82:J83)</f>
        <v>860</v>
      </c>
      <c r="Q83" s="306">
        <v>105</v>
      </c>
      <c r="R83" s="306">
        <f>K83*2</f>
        <v>460</v>
      </c>
      <c r="T83" s="203" t="s">
        <v>75</v>
      </c>
      <c r="U83" s="203">
        <f>INTERCEPT(R82:R83,Q82:Q83)</f>
        <v>1090</v>
      </c>
      <c r="X83" s="306">
        <v>105</v>
      </c>
      <c r="Y83" s="306">
        <f>K83*4</f>
        <v>920</v>
      </c>
      <c r="AA83" s="203" t="s">
        <v>75</v>
      </c>
      <c r="AB83" s="203">
        <f>INTERCEPT(Y82:Y83,X82:X83)</f>
        <v>2180</v>
      </c>
    </row>
    <row r="84" spans="3:28">
      <c r="C84" s="306">
        <v>105</v>
      </c>
      <c r="D84" s="306">
        <v>0</v>
      </c>
      <c r="J84" s="306">
        <v>105</v>
      </c>
      <c r="K84" s="306">
        <v>0</v>
      </c>
      <c r="Q84" s="306">
        <v>105</v>
      </c>
      <c r="R84" s="306">
        <f>K84*2</f>
        <v>0</v>
      </c>
      <c r="X84" s="306">
        <v>105</v>
      </c>
      <c r="Y84" s="306">
        <f>K84*4</f>
        <v>0</v>
      </c>
    </row>
    <row r="102" spans="3:28">
      <c r="C102" s="203" t="s">
        <v>266</v>
      </c>
      <c r="F102" s="203" t="s">
        <v>269</v>
      </c>
      <c r="J102" s="203" t="s">
        <v>266</v>
      </c>
      <c r="M102" s="203" t="s">
        <v>269</v>
      </c>
      <c r="Q102" s="203" t="s">
        <v>266</v>
      </c>
      <c r="T102" s="203" t="s">
        <v>269</v>
      </c>
      <c r="X102" s="203" t="s">
        <v>266</v>
      </c>
      <c r="AA102" s="203" t="s">
        <v>269</v>
      </c>
    </row>
    <row r="103" spans="3:28">
      <c r="C103" s="311" t="s">
        <v>268</v>
      </c>
      <c r="D103" s="311" t="s">
        <v>267</v>
      </c>
      <c r="F103" s="311" t="s">
        <v>268</v>
      </c>
      <c r="G103" s="311" t="s">
        <v>267</v>
      </c>
      <c r="J103" s="311" t="s">
        <v>268</v>
      </c>
      <c r="K103" s="311" t="s">
        <v>267</v>
      </c>
      <c r="M103" s="311" t="s">
        <v>268</v>
      </c>
      <c r="N103" s="311" t="s">
        <v>267</v>
      </c>
      <c r="Q103" s="311" t="s">
        <v>268</v>
      </c>
      <c r="R103" s="311" t="s">
        <v>267</v>
      </c>
      <c r="T103" s="311" t="s">
        <v>268</v>
      </c>
      <c r="U103" s="311" t="s">
        <v>267</v>
      </c>
      <c r="X103" s="311" t="s">
        <v>268</v>
      </c>
      <c r="Y103" s="311" t="s">
        <v>267</v>
      </c>
      <c r="AA103" s="311" t="s">
        <v>268</v>
      </c>
      <c r="AB103" s="311" t="s">
        <v>267</v>
      </c>
    </row>
    <row r="104" spans="3:28">
      <c r="C104" s="309">
        <v>97.505354945628639</v>
      </c>
      <c r="D104" s="309">
        <v>350</v>
      </c>
      <c r="F104" s="309">
        <v>90</v>
      </c>
      <c r="G104" s="309">
        <v>1021.5031914026682</v>
      </c>
      <c r="J104" s="309">
        <v>99.911258583457695</v>
      </c>
      <c r="K104" s="309">
        <v>350</v>
      </c>
      <c r="M104" s="309">
        <v>85</v>
      </c>
      <c r="N104" s="309">
        <v>578.64967167371776</v>
      </c>
      <c r="Q104" s="309">
        <v>97.215385710424201</v>
      </c>
      <c r="R104" s="309">
        <v>700</v>
      </c>
      <c r="T104" s="309">
        <v>85</v>
      </c>
      <c r="U104" s="309">
        <v>621.71309617099109</v>
      </c>
      <c r="X104" s="309">
        <v>91.271010425861078</v>
      </c>
      <c r="Y104" s="309">
        <v>1400</v>
      </c>
      <c r="AA104" s="309">
        <v>85</v>
      </c>
      <c r="AB104" s="309">
        <v>1234.8300416854238</v>
      </c>
    </row>
    <row r="105" spans="3:28">
      <c r="C105" s="309">
        <v>113.28248888473615</v>
      </c>
      <c r="D105" s="309">
        <v>230</v>
      </c>
      <c r="F105" s="309">
        <v>105</v>
      </c>
      <c r="G105" s="309">
        <v>802.34774484946365</v>
      </c>
      <c r="J105" s="309">
        <v>115.2413877583186</v>
      </c>
      <c r="K105" s="309">
        <v>230</v>
      </c>
      <c r="M105" s="309">
        <v>105</v>
      </c>
      <c r="N105" s="309">
        <v>471.78363999649184</v>
      </c>
      <c r="Q105" s="309">
        <v>113.59100898086922</v>
      </c>
      <c r="R105" s="309">
        <v>460</v>
      </c>
      <c r="T105" s="309">
        <v>105</v>
      </c>
      <c r="U105" s="309">
        <v>511.8932506967987</v>
      </c>
      <c r="X105" s="309">
        <v>109.95985905446892</v>
      </c>
      <c r="Y105" s="309">
        <v>920</v>
      </c>
      <c r="AA105" s="309">
        <v>105</v>
      </c>
      <c r="AB105" s="309">
        <v>1016.6908790589868</v>
      </c>
    </row>
    <row r="106" spans="3:28">
      <c r="C106" s="309">
        <v>127.14860772567259</v>
      </c>
      <c r="D106" s="309">
        <v>120</v>
      </c>
      <c r="F106" s="309">
        <v>120</v>
      </c>
      <c r="G106" s="309">
        <v>641.65012095108443</v>
      </c>
      <c r="J106" s="309">
        <v>127.99425229985762</v>
      </c>
      <c r="K106" s="309">
        <v>120</v>
      </c>
      <c r="M106" s="309">
        <v>120</v>
      </c>
      <c r="N106" s="309">
        <v>390.86335008821027</v>
      </c>
      <c r="Q106" s="309">
        <v>127.19910268029027</v>
      </c>
      <c r="R106" s="309">
        <v>240</v>
      </c>
      <c r="T106" s="309">
        <v>120</v>
      </c>
      <c r="U106" s="309">
        <v>424.98316017085222</v>
      </c>
      <c r="X106" s="309">
        <v>125.45122972886752</v>
      </c>
      <c r="Y106" s="309">
        <v>480</v>
      </c>
      <c r="AA106" s="309">
        <v>120</v>
      </c>
      <c r="AB106" s="309">
        <v>844.03470746253583</v>
      </c>
    </row>
  </sheetData>
  <sheetProtection password="A7EA" sheet="1" objects="1" scenarios="1"/>
  <phoneticPr fontId="7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B2:AM138"/>
  <sheetViews>
    <sheetView zoomScale="70" zoomScaleNormal="70" workbookViewId="0">
      <selection activeCell="P4" sqref="P4"/>
    </sheetView>
  </sheetViews>
  <sheetFormatPr defaultRowHeight="15.75"/>
  <cols>
    <col min="1" max="2" width="4" style="203" customWidth="1"/>
    <col min="3" max="16384" width="9" style="203"/>
  </cols>
  <sheetData>
    <row r="2" spans="2:34">
      <c r="B2" s="697" t="s">
        <v>265</v>
      </c>
      <c r="T2" s="317">
        <v>350</v>
      </c>
      <c r="U2" s="317">
        <v>119.9</v>
      </c>
      <c r="AA2" s="317">
        <v>700</v>
      </c>
      <c r="AB2" s="317">
        <v>117.3</v>
      </c>
    </row>
    <row r="3" spans="2:34">
      <c r="F3" s="687" t="s">
        <v>74</v>
      </c>
      <c r="G3" s="687">
        <f>SLOPE(G8:G9,F8:F9)</f>
        <v>-5.9999999999999911</v>
      </c>
      <c r="M3" s="687" t="s">
        <v>74</v>
      </c>
      <c r="N3" s="687">
        <f>SLOPE(N8:N9,M8:M9)</f>
        <v>-5.9999999999999911</v>
      </c>
      <c r="T3" s="687" t="s">
        <v>74</v>
      </c>
      <c r="U3" s="688">
        <f>SLOPE(U8:U9,T8:T9)</f>
        <v>-5.9999999999999973</v>
      </c>
      <c r="AA3" s="687" t="s">
        <v>74</v>
      </c>
      <c r="AB3" s="688">
        <f>SLOPE(AB8:AB9,AA8:AA9)</f>
        <v>-17.142857142857135</v>
      </c>
    </row>
    <row r="4" spans="2:34">
      <c r="F4" s="687" t="s">
        <v>75</v>
      </c>
      <c r="G4" s="687">
        <f>INTERCEPT(G8:G9,F8:F9)</f>
        <v>859.99999999999909</v>
      </c>
      <c r="M4" s="687" t="s">
        <v>75</v>
      </c>
      <c r="N4" s="687">
        <f>INTERCEPT(N8:N9,M8:M9)</f>
        <v>859.99999999999909</v>
      </c>
      <c r="T4" s="687" t="s">
        <v>75</v>
      </c>
      <c r="U4" s="688">
        <f>INTERCEPT(U8:U9,T8:T9)</f>
        <v>1089.9999999999998</v>
      </c>
      <c r="AA4" s="687" t="s">
        <v>75</v>
      </c>
      <c r="AB4" s="688">
        <f>INTERCEPT(AB8:AB9,AA8:AA9)</f>
        <v>2599.9999999999991</v>
      </c>
      <c r="AD4" s="236" t="s">
        <v>616</v>
      </c>
    </row>
    <row r="5" spans="2:34">
      <c r="C5" s="236" t="s">
        <v>149</v>
      </c>
      <c r="J5" s="203" t="s">
        <v>112</v>
      </c>
      <c r="Q5" s="203" t="s">
        <v>107</v>
      </c>
      <c r="X5" s="203" t="s">
        <v>108</v>
      </c>
      <c r="AD5" s="203" t="s">
        <v>108</v>
      </c>
    </row>
    <row r="6" spans="2:34">
      <c r="C6" s="206" t="s">
        <v>113</v>
      </c>
      <c r="D6" s="206" t="s">
        <v>617</v>
      </c>
      <c r="F6" s="303" t="s">
        <v>262</v>
      </c>
      <c r="G6" s="303" t="s">
        <v>263</v>
      </c>
      <c r="J6" s="206" t="s">
        <v>113</v>
      </c>
      <c r="K6" s="206" t="s">
        <v>114</v>
      </c>
      <c r="M6" s="303" t="s">
        <v>262</v>
      </c>
      <c r="N6" s="303" t="s">
        <v>618</v>
      </c>
      <c r="Q6" s="206" t="s">
        <v>619</v>
      </c>
      <c r="R6" s="206" t="s">
        <v>620</v>
      </c>
      <c r="T6" s="303" t="s">
        <v>621</v>
      </c>
      <c r="U6" s="303" t="s">
        <v>622</v>
      </c>
      <c r="X6" s="206" t="s">
        <v>623</v>
      </c>
      <c r="Y6" s="206" t="s">
        <v>624</v>
      </c>
      <c r="AA6" s="303" t="s">
        <v>625</v>
      </c>
      <c r="AB6" s="303" t="s">
        <v>626</v>
      </c>
      <c r="AD6" s="206" t="s">
        <v>627</v>
      </c>
      <c r="AE6" s="206" t="s">
        <v>628</v>
      </c>
      <c r="AG6" s="303" t="s">
        <v>629</v>
      </c>
      <c r="AH6" s="303" t="s">
        <v>630</v>
      </c>
    </row>
    <row r="7" spans="2:34">
      <c r="C7" s="206">
        <v>0</v>
      </c>
      <c r="D7" s="206">
        <v>350</v>
      </c>
      <c r="F7" s="303">
        <f>C7</f>
        <v>0</v>
      </c>
      <c r="G7" s="303">
        <v>300</v>
      </c>
      <c r="J7" s="206">
        <v>0</v>
      </c>
      <c r="K7" s="206">
        <v>350</v>
      </c>
      <c r="M7" s="303">
        <f>J7</f>
        <v>0</v>
      </c>
      <c r="N7" s="303">
        <v>300</v>
      </c>
      <c r="Q7" s="206">
        <v>0</v>
      </c>
      <c r="R7" s="206">
        <f>K7*2</f>
        <v>700</v>
      </c>
      <c r="T7" s="303">
        <f>Q7</f>
        <v>0</v>
      </c>
      <c r="U7" s="303">
        <f>U8</f>
        <v>600</v>
      </c>
      <c r="X7" s="206">
        <v>0</v>
      </c>
      <c r="Y7" s="206">
        <f>K7*4</f>
        <v>1400</v>
      </c>
      <c r="AA7" s="303">
        <f>X7</f>
        <v>0</v>
      </c>
      <c r="AB7" s="303">
        <f>AB8</f>
        <v>1200</v>
      </c>
      <c r="AD7" s="206">
        <v>0</v>
      </c>
      <c r="AE7" s="206">
        <f>K7*4</f>
        <v>1400</v>
      </c>
      <c r="AG7" s="303">
        <f>AD7</f>
        <v>0</v>
      </c>
      <c r="AH7" s="303">
        <f>AH8</f>
        <v>1200</v>
      </c>
    </row>
    <row r="8" spans="2:34">
      <c r="C8" s="235">
        <v>85</v>
      </c>
      <c r="D8" s="206">
        <v>350</v>
      </c>
      <c r="F8" s="315">
        <f>FORECAST(G8,C8:C9,D8:D9)</f>
        <v>93.333333333333314</v>
      </c>
      <c r="G8" s="314">
        <v>300</v>
      </c>
      <c r="J8" s="235">
        <v>85</v>
      </c>
      <c r="K8" s="206">
        <v>350</v>
      </c>
      <c r="M8" s="304">
        <f>FORECAST(N8,J8:J9,K8:K9)</f>
        <v>93.333333333333314</v>
      </c>
      <c r="N8" s="314">
        <v>300</v>
      </c>
      <c r="Q8" s="235">
        <v>65</v>
      </c>
      <c r="R8" s="206">
        <f>K8*2</f>
        <v>700</v>
      </c>
      <c r="T8" s="315">
        <f>FORECAST(U8,Q8:Q9,R8:R9)</f>
        <v>81.666666666666657</v>
      </c>
      <c r="U8" s="314">
        <v>600</v>
      </c>
      <c r="X8" s="235">
        <v>65</v>
      </c>
      <c r="Y8" s="206">
        <f>K8*4</f>
        <v>1400</v>
      </c>
      <c r="AA8" s="315">
        <f>AG8</f>
        <v>81.666666666666657</v>
      </c>
      <c r="AB8" s="314">
        <v>1200</v>
      </c>
      <c r="AD8" s="235">
        <v>65</v>
      </c>
      <c r="AE8" s="206">
        <f>K8*4</f>
        <v>1400</v>
      </c>
      <c r="AG8" s="315">
        <f>FORECAST(AH8,AD8:AD9,AE8:AE9)</f>
        <v>81.666666666666657</v>
      </c>
      <c r="AH8" s="314">
        <v>1200</v>
      </c>
    </row>
    <row r="9" spans="2:34">
      <c r="C9" s="206">
        <v>105</v>
      </c>
      <c r="D9" s="206">
        <v>230</v>
      </c>
      <c r="F9" s="303">
        <f>C9</f>
        <v>105</v>
      </c>
      <c r="G9" s="303">
        <f>D9</f>
        <v>230</v>
      </c>
      <c r="J9" s="206">
        <v>105</v>
      </c>
      <c r="K9" s="206">
        <v>230</v>
      </c>
      <c r="M9" s="303">
        <f>J9</f>
        <v>105</v>
      </c>
      <c r="N9" s="303">
        <f>K9</f>
        <v>230</v>
      </c>
      <c r="Q9" s="206">
        <v>105</v>
      </c>
      <c r="R9" s="206">
        <f>230*2</f>
        <v>460</v>
      </c>
      <c r="T9" s="303">
        <f>Q9</f>
        <v>105</v>
      </c>
      <c r="U9" s="303">
        <f>R9</f>
        <v>460</v>
      </c>
      <c r="X9" s="206">
        <v>105</v>
      </c>
      <c r="Y9" s="235">
        <f>200*4</f>
        <v>800</v>
      </c>
      <c r="AA9" s="303">
        <f>X9</f>
        <v>105</v>
      </c>
      <c r="AB9" s="314">
        <f>Y9</f>
        <v>800</v>
      </c>
      <c r="AD9" s="206">
        <v>105</v>
      </c>
      <c r="AE9" s="235">
        <f>230*4</f>
        <v>920</v>
      </c>
      <c r="AG9" s="303">
        <f>AD9</f>
        <v>105</v>
      </c>
      <c r="AH9" s="314">
        <f>AE9</f>
        <v>920</v>
      </c>
    </row>
    <row r="10" spans="2:34">
      <c r="C10" s="206">
        <v>105</v>
      </c>
      <c r="D10" s="206">
        <v>0</v>
      </c>
      <c r="F10" s="303">
        <f>C10</f>
        <v>105</v>
      </c>
      <c r="G10" s="303">
        <f>D10</f>
        <v>0</v>
      </c>
      <c r="J10" s="206">
        <v>105</v>
      </c>
      <c r="K10" s="206">
        <v>0</v>
      </c>
      <c r="M10" s="303">
        <f>J10</f>
        <v>105</v>
      </c>
      <c r="N10" s="303">
        <f>K10</f>
        <v>0</v>
      </c>
      <c r="Q10" s="206">
        <v>105</v>
      </c>
      <c r="R10" s="206">
        <f>K10*2</f>
        <v>0</v>
      </c>
      <c r="T10" s="303">
        <f>Q10</f>
        <v>105</v>
      </c>
      <c r="U10" s="303">
        <f>R10</f>
        <v>0</v>
      </c>
      <c r="X10" s="206">
        <v>105</v>
      </c>
      <c r="Y10" s="206">
        <f>K10*4</f>
        <v>0</v>
      </c>
      <c r="AA10" s="303">
        <f>X10</f>
        <v>105</v>
      </c>
      <c r="AB10" s="303">
        <f>Y10</f>
        <v>0</v>
      </c>
      <c r="AD10" s="206">
        <v>105</v>
      </c>
      <c r="AE10" s="206">
        <f>K10*4</f>
        <v>0</v>
      </c>
      <c r="AG10" s="303">
        <f>AD10</f>
        <v>105</v>
      </c>
      <c r="AH10" s="303">
        <f>AE10</f>
        <v>0</v>
      </c>
    </row>
    <row r="27" spans="2:28">
      <c r="B27" s="203" t="s">
        <v>265</v>
      </c>
      <c r="T27" s="317">
        <v>350</v>
      </c>
      <c r="U27" s="317">
        <v>119.9</v>
      </c>
      <c r="AA27" s="317">
        <v>700</v>
      </c>
      <c r="AB27" s="317">
        <v>117.3</v>
      </c>
    </row>
    <row r="28" spans="2:28">
      <c r="F28" s="687" t="s">
        <v>74</v>
      </c>
      <c r="G28" s="687">
        <f>SLOPE(G33:G34,F33:F34)</f>
        <v>-5.9999999999999911</v>
      </c>
      <c r="M28" s="687" t="s">
        <v>74</v>
      </c>
      <c r="N28" s="687">
        <f>SLOPE(N33:N34,M33:M34)</f>
        <v>-5.9999999999999911</v>
      </c>
      <c r="T28" s="687" t="s">
        <v>74</v>
      </c>
      <c r="U28" s="688">
        <f>SLOPE(U33:U34,T33:T34)</f>
        <v>-7</v>
      </c>
      <c r="AA28" s="687" t="s">
        <v>74</v>
      </c>
      <c r="AB28" s="688">
        <f>SLOPE(AB33:AB34,AA33:AA34)</f>
        <v>-14</v>
      </c>
    </row>
    <row r="29" spans="2:28">
      <c r="F29" s="687" t="s">
        <v>75</v>
      </c>
      <c r="G29" s="687">
        <f>INTERCEPT(G33:G34,F33:F34)</f>
        <v>859.99999999999909</v>
      </c>
      <c r="M29" s="687" t="s">
        <v>75</v>
      </c>
      <c r="N29" s="687">
        <f>INTERCEPT(N33:N34,M33:M34)</f>
        <v>859.99999999999909</v>
      </c>
      <c r="T29" s="687" t="s">
        <v>75</v>
      </c>
      <c r="U29" s="688">
        <f>INTERCEPT(U33:U34,T33:T34)</f>
        <v>1195</v>
      </c>
      <c r="AA29" s="687" t="s">
        <v>75</v>
      </c>
      <c r="AB29" s="688">
        <f>INTERCEPT(AB33:AB34,AA33:AA34)</f>
        <v>2390</v>
      </c>
    </row>
    <row r="30" spans="2:28">
      <c r="C30" s="236" t="s">
        <v>149</v>
      </c>
      <c r="J30" s="203" t="s">
        <v>112</v>
      </c>
      <c r="Q30" s="203" t="s">
        <v>107</v>
      </c>
      <c r="X30" s="203" t="s">
        <v>108</v>
      </c>
    </row>
    <row r="31" spans="2:28">
      <c r="C31" s="206" t="s">
        <v>113</v>
      </c>
      <c r="D31" s="206" t="s">
        <v>114</v>
      </c>
      <c r="F31" s="303" t="s">
        <v>262</v>
      </c>
      <c r="G31" s="303" t="s">
        <v>263</v>
      </c>
      <c r="J31" s="206" t="s">
        <v>113</v>
      </c>
      <c r="K31" s="206" t="s">
        <v>114</v>
      </c>
      <c r="M31" s="303" t="s">
        <v>262</v>
      </c>
      <c r="N31" s="303" t="s">
        <v>263</v>
      </c>
      <c r="Q31" s="206" t="s">
        <v>113</v>
      </c>
      <c r="R31" s="206" t="s">
        <v>114</v>
      </c>
      <c r="T31" s="303" t="s">
        <v>262</v>
      </c>
      <c r="U31" s="303" t="s">
        <v>263</v>
      </c>
      <c r="X31" s="206" t="s">
        <v>113</v>
      </c>
      <c r="Y31" s="206" t="s">
        <v>114</v>
      </c>
      <c r="AA31" s="303" t="s">
        <v>262</v>
      </c>
      <c r="AB31" s="303" t="s">
        <v>263</v>
      </c>
    </row>
    <row r="32" spans="2:28">
      <c r="C32" s="206">
        <v>0</v>
      </c>
      <c r="D32" s="206">
        <v>350</v>
      </c>
      <c r="F32" s="303">
        <f>C32</f>
        <v>0</v>
      </c>
      <c r="G32" s="303">
        <v>300</v>
      </c>
      <c r="J32" s="206">
        <v>0</v>
      </c>
      <c r="K32" s="206">
        <v>350</v>
      </c>
      <c r="M32" s="303">
        <f>J32</f>
        <v>0</v>
      </c>
      <c r="N32" s="303">
        <v>300</v>
      </c>
      <c r="Q32" s="206">
        <v>0</v>
      </c>
      <c r="R32" s="206">
        <f>K32*2</f>
        <v>700</v>
      </c>
      <c r="T32" s="303">
        <f>Q32</f>
        <v>0</v>
      </c>
      <c r="U32" s="303">
        <f>U33</f>
        <v>600</v>
      </c>
      <c r="X32" s="206">
        <v>0</v>
      </c>
      <c r="Y32" s="206">
        <f>K32*4</f>
        <v>1400</v>
      </c>
      <c r="AA32" s="303">
        <f>X32</f>
        <v>0</v>
      </c>
      <c r="AB32" s="303">
        <f>AB33</f>
        <v>1200</v>
      </c>
    </row>
    <row r="33" spans="3:28">
      <c r="C33" s="235">
        <v>85</v>
      </c>
      <c r="D33" s="206">
        <v>350</v>
      </c>
      <c r="F33" s="304">
        <f>FORECAST(G33,C33:C34,D33:D34)</f>
        <v>93.333333333333314</v>
      </c>
      <c r="G33" s="314">
        <v>300</v>
      </c>
      <c r="J33" s="235">
        <v>85</v>
      </c>
      <c r="K33" s="206">
        <v>350</v>
      </c>
      <c r="M33" s="304">
        <f>FORECAST(N33,J33:J34,K33:K34)</f>
        <v>93.333333333333314</v>
      </c>
      <c r="N33" s="314">
        <v>300</v>
      </c>
      <c r="Q33" s="235">
        <v>65</v>
      </c>
      <c r="R33" s="206">
        <f>K33*2</f>
        <v>700</v>
      </c>
      <c r="T33" s="315">
        <v>85</v>
      </c>
      <c r="U33" s="314">
        <v>600</v>
      </c>
      <c r="X33" s="235">
        <v>65</v>
      </c>
      <c r="Y33" s="206">
        <f>K33*4</f>
        <v>1400</v>
      </c>
      <c r="AA33" s="315">
        <v>85</v>
      </c>
      <c r="AB33" s="314">
        <v>1200</v>
      </c>
    </row>
    <row r="34" spans="3:28">
      <c r="C34" s="206">
        <v>105</v>
      </c>
      <c r="D34" s="206">
        <v>230</v>
      </c>
      <c r="F34" s="303">
        <f>C34</f>
        <v>105</v>
      </c>
      <c r="G34" s="303">
        <f>D34</f>
        <v>230</v>
      </c>
      <c r="J34" s="206">
        <v>105</v>
      </c>
      <c r="K34" s="206">
        <v>230</v>
      </c>
      <c r="M34" s="303">
        <f>J34</f>
        <v>105</v>
      </c>
      <c r="N34" s="303">
        <f>K34</f>
        <v>230</v>
      </c>
      <c r="Q34" s="206">
        <v>105</v>
      </c>
      <c r="R34" s="206">
        <f>K34*2</f>
        <v>460</v>
      </c>
      <c r="T34" s="303">
        <f>Q34</f>
        <v>105</v>
      </c>
      <c r="U34" s="303">
        <f>R34</f>
        <v>460</v>
      </c>
      <c r="X34" s="206">
        <v>105</v>
      </c>
      <c r="Y34" s="206">
        <f>K34*4</f>
        <v>920</v>
      </c>
      <c r="AA34" s="303">
        <f>X34</f>
        <v>105</v>
      </c>
      <c r="AB34" s="303">
        <f>Y34</f>
        <v>920</v>
      </c>
    </row>
    <row r="35" spans="3:28">
      <c r="C35" s="206">
        <v>105</v>
      </c>
      <c r="D35" s="206">
        <v>0</v>
      </c>
      <c r="F35" s="303">
        <f>C35</f>
        <v>105</v>
      </c>
      <c r="G35" s="303">
        <f>D35</f>
        <v>0</v>
      </c>
      <c r="J35" s="206">
        <v>105</v>
      </c>
      <c r="K35" s="206">
        <v>0</v>
      </c>
      <c r="M35" s="303">
        <f>J35</f>
        <v>105</v>
      </c>
      <c r="N35" s="303">
        <f>K35</f>
        <v>0</v>
      </c>
      <c r="Q35" s="206">
        <v>105</v>
      </c>
      <c r="R35" s="206">
        <f>K35*2</f>
        <v>0</v>
      </c>
      <c r="T35" s="303">
        <f>Q35</f>
        <v>105</v>
      </c>
      <c r="U35" s="303">
        <f>R35</f>
        <v>0</v>
      </c>
      <c r="X35" s="206">
        <v>105</v>
      </c>
      <c r="Y35" s="206">
        <f>K35*4</f>
        <v>0</v>
      </c>
      <c r="AA35" s="303">
        <f>X35</f>
        <v>105</v>
      </c>
      <c r="AB35" s="303">
        <f>Y35</f>
        <v>0</v>
      </c>
    </row>
    <row r="52" spans="2:39">
      <c r="B52" s="203" t="s">
        <v>265</v>
      </c>
      <c r="S52" s="203">
        <v>81.6666666666667</v>
      </c>
      <c r="AF52" s="310" t="s">
        <v>268</v>
      </c>
      <c r="AG52" s="310" t="s">
        <v>267</v>
      </c>
      <c r="AH52" s="311" t="s">
        <v>273</v>
      </c>
      <c r="AI52" s="311" t="s">
        <v>272</v>
      </c>
      <c r="AJ52" s="310"/>
      <c r="AL52" s="310"/>
      <c r="AM52" s="310"/>
    </row>
    <row r="53" spans="2:39">
      <c r="F53" s="203" t="s">
        <v>74</v>
      </c>
      <c r="G53" s="203">
        <f>SLOPE(G58:G59,F58:F59)</f>
        <v>-5.9999999999999911</v>
      </c>
      <c r="M53" s="203" t="s">
        <v>74</v>
      </c>
      <c r="N53" s="203">
        <f>SLOPE(N58:N59,M58:M59)</f>
        <v>-5.9999999999999911</v>
      </c>
      <c r="T53" s="203" t="s">
        <v>74</v>
      </c>
      <c r="U53" s="203">
        <f>SLOPE(U58:U59,T58:T59)</f>
        <v>-5.9999999999999973</v>
      </c>
      <c r="AA53" s="203" t="s">
        <v>74</v>
      </c>
      <c r="AB53" s="203">
        <f>SLOPE(AB58:AB59,AA58:AA59)</f>
        <v>-11.999999999999995</v>
      </c>
      <c r="AF53" s="310">
        <v>85</v>
      </c>
      <c r="AG53" s="310">
        <v>1080</v>
      </c>
      <c r="AH53" s="312">
        <v>0.97651678409689591</v>
      </c>
      <c r="AI53" s="311">
        <v>3000</v>
      </c>
      <c r="AJ53" s="310"/>
      <c r="AL53" s="310"/>
      <c r="AM53" s="310"/>
    </row>
    <row r="54" spans="2:39">
      <c r="F54" s="203" t="s">
        <v>75</v>
      </c>
      <c r="G54" s="203">
        <f>INTERCEPT(G58:G59,F58:F59)</f>
        <v>859.99999999999909</v>
      </c>
      <c r="M54" s="203" t="s">
        <v>75</v>
      </c>
      <c r="N54" s="203">
        <f>INTERCEPT(N58:N59,M58:M59)</f>
        <v>859.99999999999909</v>
      </c>
      <c r="T54" s="203" t="s">
        <v>75</v>
      </c>
      <c r="U54" s="203">
        <f>INTERCEPT(U58:U59,T58:T59)</f>
        <v>1089.9999999999998</v>
      </c>
      <c r="AA54" s="203" t="s">
        <v>75</v>
      </c>
      <c r="AB54" s="203">
        <f>INTERCEPT(AB58:AB59,AA58:AA59)</f>
        <v>2179.9999999999995</v>
      </c>
      <c r="AF54" s="310">
        <v>85</v>
      </c>
      <c r="AG54" s="310">
        <v>1200</v>
      </c>
      <c r="AH54" s="312">
        <v>0.96386429386959604</v>
      </c>
      <c r="AI54" s="311">
        <v>3000</v>
      </c>
      <c r="AJ54" s="310"/>
    </row>
    <row r="55" spans="2:39">
      <c r="C55" s="236" t="s">
        <v>149</v>
      </c>
      <c r="J55" s="203" t="s">
        <v>112</v>
      </c>
      <c r="Q55" s="203" t="s">
        <v>107</v>
      </c>
      <c r="X55" s="203" t="s">
        <v>108</v>
      </c>
      <c r="AF55" s="310">
        <v>85</v>
      </c>
      <c r="AG55" s="310">
        <v>1400</v>
      </c>
      <c r="AH55" s="312">
        <v>0.96176231602183859</v>
      </c>
      <c r="AI55" s="311">
        <v>3000</v>
      </c>
      <c r="AJ55" s="310"/>
    </row>
    <row r="56" spans="2:39">
      <c r="C56" s="206" t="s">
        <v>113</v>
      </c>
      <c r="D56" s="206" t="s">
        <v>114</v>
      </c>
      <c r="F56" s="303" t="s">
        <v>262</v>
      </c>
      <c r="G56" s="303" t="s">
        <v>263</v>
      </c>
      <c r="H56" s="310" t="s">
        <v>274</v>
      </c>
      <c r="I56" s="310" t="s">
        <v>40</v>
      </c>
      <c r="J56" s="206" t="s">
        <v>113</v>
      </c>
      <c r="K56" s="206" t="s">
        <v>114</v>
      </c>
      <c r="M56" s="303" t="s">
        <v>262</v>
      </c>
      <c r="N56" s="303" t="s">
        <v>263</v>
      </c>
      <c r="O56" s="310" t="s">
        <v>274</v>
      </c>
      <c r="P56" s="310" t="s">
        <v>40</v>
      </c>
      <c r="Q56" s="206" t="s">
        <v>113</v>
      </c>
      <c r="R56" s="206" t="s">
        <v>114</v>
      </c>
      <c r="T56" s="303" t="s">
        <v>262</v>
      </c>
      <c r="U56" s="303" t="s">
        <v>263</v>
      </c>
      <c r="V56" s="310" t="s">
        <v>274</v>
      </c>
      <c r="W56" s="310" t="s">
        <v>40</v>
      </c>
      <c r="X56" s="206" t="s">
        <v>113</v>
      </c>
      <c r="Y56" s="206" t="s">
        <v>114</v>
      </c>
      <c r="AA56" s="303" t="s">
        <v>262</v>
      </c>
      <c r="AB56" s="303" t="s">
        <v>263</v>
      </c>
      <c r="AC56" s="310" t="s">
        <v>274</v>
      </c>
      <c r="AD56" s="310" t="s">
        <v>40</v>
      </c>
      <c r="AF56" s="310">
        <v>85</v>
      </c>
      <c r="AG56" s="310">
        <v>1600</v>
      </c>
      <c r="AH56" s="312">
        <v>0.9642967277564195</v>
      </c>
      <c r="AI56" s="311">
        <v>3000</v>
      </c>
      <c r="AJ56" s="310"/>
    </row>
    <row r="57" spans="2:39">
      <c r="C57" s="206">
        <v>0</v>
      </c>
      <c r="D57" s="206">
        <v>350</v>
      </c>
      <c r="F57" s="303">
        <f>C57</f>
        <v>0</v>
      </c>
      <c r="G57" s="314">
        <v>300</v>
      </c>
      <c r="J57" s="206">
        <v>0</v>
      </c>
      <c r="K57" s="206">
        <v>350</v>
      </c>
      <c r="M57" s="303">
        <f>J57</f>
        <v>0</v>
      </c>
      <c r="N57" s="314">
        <v>300</v>
      </c>
      <c r="Q57" s="206">
        <v>0</v>
      </c>
      <c r="R57" s="206">
        <f>K57*2</f>
        <v>700</v>
      </c>
      <c r="T57" s="303">
        <f>Q57</f>
        <v>0</v>
      </c>
      <c r="U57" s="314">
        <f>U58</f>
        <v>600</v>
      </c>
      <c r="X57" s="206">
        <v>0</v>
      </c>
      <c r="Y57" s="206">
        <f>K57*4</f>
        <v>1400</v>
      </c>
      <c r="AA57" s="303">
        <f>X57</f>
        <v>0</v>
      </c>
      <c r="AB57" s="314">
        <f>AB58</f>
        <v>1200</v>
      </c>
      <c r="AF57" s="310">
        <v>105</v>
      </c>
      <c r="AG57" s="310">
        <v>920</v>
      </c>
      <c r="AH57" s="312">
        <v>0.97003975817046817</v>
      </c>
      <c r="AI57" s="311">
        <v>3000</v>
      </c>
    </row>
    <row r="58" spans="2:39">
      <c r="C58" s="235">
        <v>85</v>
      </c>
      <c r="D58" s="206">
        <v>350</v>
      </c>
      <c r="F58" s="315">
        <f>FORECAST(G58,C58:C59,D58:D59)</f>
        <v>93.333333333333314</v>
      </c>
      <c r="G58" s="314">
        <v>300</v>
      </c>
      <c r="H58" s="203">
        <v>144.1332823507289</v>
      </c>
      <c r="I58" s="203">
        <v>129</v>
      </c>
      <c r="J58" s="235">
        <v>85</v>
      </c>
      <c r="K58" s="206">
        <v>350</v>
      </c>
      <c r="M58" s="315">
        <f>FORECAST(N58,J58:J59,K58:K59)</f>
        <v>93.333333333333314</v>
      </c>
      <c r="N58" s="314">
        <v>300</v>
      </c>
      <c r="O58" s="203">
        <v>162.82385492232896</v>
      </c>
      <c r="P58" s="203">
        <v>127</v>
      </c>
      <c r="Q58" s="235">
        <v>65</v>
      </c>
      <c r="R58" s="206">
        <f>K58*2</f>
        <v>700</v>
      </c>
      <c r="T58" s="315">
        <f>FORECAST(U58,Q58:Q59,R58:R59)</f>
        <v>81.666666666666657</v>
      </c>
      <c r="U58" s="314">
        <v>600</v>
      </c>
      <c r="V58" s="203">
        <v>197.69609147064691</v>
      </c>
      <c r="W58" s="203">
        <v>118</v>
      </c>
      <c r="X58" s="235">
        <v>65</v>
      </c>
      <c r="Y58" s="206">
        <f>K58*4</f>
        <v>1400</v>
      </c>
      <c r="AA58" s="315">
        <f>FORECAST(AB58,X58:X59,Y58:Y59)</f>
        <v>81.666666666666657</v>
      </c>
      <c r="AB58" s="314">
        <v>1200</v>
      </c>
      <c r="AC58" s="203">
        <v>198.45230070452541</v>
      </c>
      <c r="AD58" s="203">
        <v>123</v>
      </c>
      <c r="AF58" s="310">
        <v>105</v>
      </c>
      <c r="AG58" s="310">
        <v>1080</v>
      </c>
      <c r="AH58" s="312">
        <v>0.9853073729119276</v>
      </c>
      <c r="AI58" s="311">
        <v>3000</v>
      </c>
    </row>
    <row r="59" spans="2:39">
      <c r="C59" s="206">
        <v>105</v>
      </c>
      <c r="D59" s="206">
        <v>230</v>
      </c>
      <c r="F59" s="303">
        <f>C59</f>
        <v>105</v>
      </c>
      <c r="G59" s="303">
        <f>D59</f>
        <v>230</v>
      </c>
      <c r="H59" s="203">
        <v>148.73791601641076</v>
      </c>
      <c r="I59" s="203">
        <v>132</v>
      </c>
      <c r="J59" s="206">
        <v>105</v>
      </c>
      <c r="K59" s="206">
        <v>230</v>
      </c>
      <c r="M59" s="303">
        <f>J59</f>
        <v>105</v>
      </c>
      <c r="N59" s="303">
        <f>K59</f>
        <v>230</v>
      </c>
      <c r="O59" s="203">
        <v>162.35871631560761</v>
      </c>
      <c r="P59" s="203">
        <v>130</v>
      </c>
      <c r="Q59" s="206">
        <v>105</v>
      </c>
      <c r="R59" s="206">
        <f>K59*2</f>
        <v>460</v>
      </c>
      <c r="T59" s="303">
        <f>Q59</f>
        <v>105</v>
      </c>
      <c r="U59" s="303">
        <f>R59</f>
        <v>460</v>
      </c>
      <c r="V59" s="203">
        <v>196.25767471358682</v>
      </c>
      <c r="W59" s="203">
        <v>132</v>
      </c>
      <c r="X59" s="206">
        <v>105</v>
      </c>
      <c r="Y59" s="206">
        <f>K59*4</f>
        <v>920</v>
      </c>
      <c r="AA59" s="303">
        <f>X59</f>
        <v>105</v>
      </c>
      <c r="AB59" s="303">
        <f>Y59</f>
        <v>920</v>
      </c>
      <c r="AC59" s="203">
        <v>196.81162270721626</v>
      </c>
      <c r="AD59" s="203">
        <v>135</v>
      </c>
      <c r="AF59" s="310">
        <v>105</v>
      </c>
      <c r="AG59" s="310">
        <v>1400</v>
      </c>
      <c r="AH59" s="312">
        <v>0.98390056485929345</v>
      </c>
      <c r="AI59" s="311">
        <v>3000</v>
      </c>
    </row>
    <row r="60" spans="2:39">
      <c r="C60" s="206">
        <v>105</v>
      </c>
      <c r="D60" s="206">
        <v>0</v>
      </c>
      <c r="F60" s="303">
        <f>C60</f>
        <v>105</v>
      </c>
      <c r="G60" s="303">
        <f>D60</f>
        <v>0</v>
      </c>
      <c r="J60" s="206">
        <v>105</v>
      </c>
      <c r="K60" s="206">
        <v>0</v>
      </c>
      <c r="M60" s="303">
        <f>J60</f>
        <v>105</v>
      </c>
      <c r="N60" s="303">
        <f>K60</f>
        <v>0</v>
      </c>
      <c r="Q60" s="206">
        <v>105</v>
      </c>
      <c r="R60" s="206">
        <f>K60*2</f>
        <v>0</v>
      </c>
      <c r="T60" s="303">
        <f>Q60</f>
        <v>105</v>
      </c>
      <c r="U60" s="303">
        <f>R60</f>
        <v>0</v>
      </c>
      <c r="X60" s="206">
        <v>105</v>
      </c>
      <c r="Y60" s="206">
        <f>K60*4</f>
        <v>0</v>
      </c>
      <c r="AA60" s="303">
        <f>X60</f>
        <v>105</v>
      </c>
      <c r="AB60" s="303">
        <f>Y60</f>
        <v>0</v>
      </c>
      <c r="AF60" s="310">
        <v>120</v>
      </c>
      <c r="AG60" s="310">
        <v>1200</v>
      </c>
      <c r="AH60" s="312">
        <v>0.97944992402658082</v>
      </c>
      <c r="AI60" s="313">
        <v>2000</v>
      </c>
    </row>
    <row r="77" spans="2:39">
      <c r="B77" s="203" t="s">
        <v>264</v>
      </c>
      <c r="AJ77" s="310"/>
      <c r="AL77" s="310"/>
      <c r="AM77" s="310"/>
    </row>
    <row r="78" spans="2:39">
      <c r="F78" s="203" t="s">
        <v>74</v>
      </c>
      <c r="G78" s="203">
        <f>SLOPE(G83:G84,F83:F84)</f>
        <v>-5.9999999999999911</v>
      </c>
      <c r="M78" s="203" t="s">
        <v>74</v>
      </c>
      <c r="N78" s="203">
        <f>SLOPE(N83:N84,M83:M84)</f>
        <v>-5.9999999999999911</v>
      </c>
      <c r="T78" s="203" t="s">
        <v>74</v>
      </c>
      <c r="U78" s="203">
        <f>SLOPE(U83:U84,T83:T84)</f>
        <v>-5.9999999999999973</v>
      </c>
      <c r="AA78" s="203" t="s">
        <v>74</v>
      </c>
      <c r="AB78" s="203">
        <f>SLOPE(AB83:AB84,AA83:AA84)</f>
        <v>-11.999999999999995</v>
      </c>
      <c r="AJ78" s="310"/>
      <c r="AL78" s="310"/>
      <c r="AM78" s="310"/>
    </row>
    <row r="79" spans="2:39">
      <c r="F79" s="203" t="s">
        <v>75</v>
      </c>
      <c r="G79" s="203">
        <f>INTERCEPT(G83:G84,F83:F84)</f>
        <v>859.99999999999909</v>
      </c>
      <c r="M79" s="203" t="s">
        <v>75</v>
      </c>
      <c r="N79" s="203">
        <f>INTERCEPT(N83:N84,M83:M84)</f>
        <v>859.99999999999909</v>
      </c>
      <c r="T79" s="203" t="s">
        <v>75</v>
      </c>
      <c r="U79" s="203">
        <f>INTERCEPT(U83:U84,T83:T84)</f>
        <v>1089.9999999999998</v>
      </c>
      <c r="AA79" s="203" t="s">
        <v>75</v>
      </c>
      <c r="AB79" s="203">
        <f>INTERCEPT(AB83:AB84,AA83:AA84)</f>
        <v>2179.9999999999995</v>
      </c>
      <c r="AJ79" s="310"/>
    </row>
    <row r="80" spans="2:39">
      <c r="C80" s="236" t="s">
        <v>149</v>
      </c>
      <c r="J80" s="203" t="s">
        <v>112</v>
      </c>
      <c r="Q80" s="203" t="s">
        <v>107</v>
      </c>
      <c r="X80" s="203" t="s">
        <v>108</v>
      </c>
      <c r="AJ80" s="310"/>
    </row>
    <row r="81" spans="3:36">
      <c r="C81" s="206" t="s">
        <v>113</v>
      </c>
      <c r="D81" s="206" t="s">
        <v>114</v>
      </c>
      <c r="F81" s="302" t="s">
        <v>262</v>
      </c>
      <c r="G81" s="302" t="s">
        <v>263</v>
      </c>
      <c r="J81" s="206" t="s">
        <v>113</v>
      </c>
      <c r="K81" s="206" t="s">
        <v>114</v>
      </c>
      <c r="M81" s="302" t="s">
        <v>262</v>
      </c>
      <c r="N81" s="302" t="s">
        <v>263</v>
      </c>
      <c r="Q81" s="206" t="s">
        <v>113</v>
      </c>
      <c r="R81" s="206" t="s">
        <v>114</v>
      </c>
      <c r="T81" s="302" t="s">
        <v>262</v>
      </c>
      <c r="U81" s="302" t="s">
        <v>263</v>
      </c>
      <c r="X81" s="206" t="s">
        <v>113</v>
      </c>
      <c r="Y81" s="206" t="s">
        <v>114</v>
      </c>
      <c r="AA81" s="302" t="s">
        <v>262</v>
      </c>
      <c r="AB81" s="302" t="s">
        <v>263</v>
      </c>
      <c r="AJ81" s="310"/>
    </row>
    <row r="82" spans="3:36">
      <c r="C82" s="206">
        <v>0</v>
      </c>
      <c r="D82" s="206">
        <v>350</v>
      </c>
      <c r="F82" s="302">
        <f>C82</f>
        <v>0</v>
      </c>
      <c r="G82" s="305">
        <v>300</v>
      </c>
      <c r="J82" s="206">
        <v>0</v>
      </c>
      <c r="K82" s="206">
        <v>350</v>
      </c>
      <c r="M82" s="302">
        <f>J82</f>
        <v>0</v>
      </c>
      <c r="N82" s="305">
        <v>300</v>
      </c>
      <c r="Q82" s="206">
        <v>0</v>
      </c>
      <c r="R82" s="206">
        <f>K82*2</f>
        <v>700</v>
      </c>
      <c r="T82" s="302">
        <f>Q82</f>
        <v>0</v>
      </c>
      <c r="U82" s="305">
        <f>U83</f>
        <v>600</v>
      </c>
      <c r="X82" s="206">
        <v>0</v>
      </c>
      <c r="Y82" s="206">
        <f>K82*4</f>
        <v>1400</v>
      </c>
      <c r="AA82" s="302">
        <f>X82</f>
        <v>0</v>
      </c>
      <c r="AB82" s="305">
        <f>AB83</f>
        <v>1200</v>
      </c>
    </row>
    <row r="83" spans="3:36">
      <c r="C83" s="235">
        <v>85</v>
      </c>
      <c r="D83" s="206">
        <v>350</v>
      </c>
      <c r="F83" s="308">
        <f>FORECAST(G83,C83:C84,D83:D84)</f>
        <v>93.333333333333314</v>
      </c>
      <c r="G83" s="305">
        <v>300</v>
      </c>
      <c r="J83" s="235">
        <v>85</v>
      </c>
      <c r="K83" s="206">
        <v>350</v>
      </c>
      <c r="M83" s="308">
        <f>FORECAST(N83,J83:J84,K83:K84)</f>
        <v>93.333333333333314</v>
      </c>
      <c r="N83" s="305">
        <v>300</v>
      </c>
      <c r="Q83" s="235">
        <v>65</v>
      </c>
      <c r="R83" s="206">
        <f>K83*2</f>
        <v>700</v>
      </c>
      <c r="T83" s="308">
        <f>FORECAST(U83,Q83:Q84,R83:R84)</f>
        <v>81.666666666666657</v>
      </c>
      <c r="U83" s="305">
        <v>600</v>
      </c>
      <c r="X83" s="235">
        <v>65</v>
      </c>
      <c r="Y83" s="206">
        <f>K83*4</f>
        <v>1400</v>
      </c>
      <c r="AA83" s="308">
        <f>FORECAST(AB83,X83:X84,Y83:Y84)</f>
        <v>81.666666666666657</v>
      </c>
      <c r="AB83" s="305">
        <v>1200</v>
      </c>
    </row>
    <row r="84" spans="3:36">
      <c r="C84" s="206">
        <v>105</v>
      </c>
      <c r="D84" s="206">
        <v>230</v>
      </c>
      <c r="F84" s="302">
        <f>C84</f>
        <v>105</v>
      </c>
      <c r="G84" s="302">
        <f>D84</f>
        <v>230</v>
      </c>
      <c r="J84" s="206">
        <v>105</v>
      </c>
      <c r="K84" s="206">
        <v>230</v>
      </c>
      <c r="M84" s="302">
        <f>J84</f>
        <v>105</v>
      </c>
      <c r="N84" s="302">
        <f>K84</f>
        <v>230</v>
      </c>
      <c r="Q84" s="206">
        <v>105</v>
      </c>
      <c r="R84" s="206">
        <f>K84*2</f>
        <v>460</v>
      </c>
      <c r="T84" s="302">
        <f>Q84</f>
        <v>105</v>
      </c>
      <c r="U84" s="302">
        <f>R84</f>
        <v>460</v>
      </c>
      <c r="X84" s="206">
        <v>105</v>
      </c>
      <c r="Y84" s="206">
        <f>K84*4</f>
        <v>920</v>
      </c>
      <c r="AA84" s="302">
        <f>X84</f>
        <v>105</v>
      </c>
      <c r="AB84" s="302">
        <f>Y84</f>
        <v>920</v>
      </c>
    </row>
    <row r="85" spans="3:36">
      <c r="C85" s="206">
        <v>105</v>
      </c>
      <c r="D85" s="206">
        <v>0</v>
      </c>
      <c r="F85" s="302">
        <f>C85</f>
        <v>105</v>
      </c>
      <c r="G85" s="302">
        <f>D85</f>
        <v>0</v>
      </c>
      <c r="J85" s="206">
        <v>105</v>
      </c>
      <c r="K85" s="206">
        <v>0</v>
      </c>
      <c r="M85" s="302">
        <f>J85</f>
        <v>105</v>
      </c>
      <c r="N85" s="302">
        <f>K85</f>
        <v>0</v>
      </c>
      <c r="Q85" s="206">
        <v>105</v>
      </c>
      <c r="R85" s="206">
        <f>K85*2</f>
        <v>0</v>
      </c>
      <c r="T85" s="302">
        <f>Q85</f>
        <v>105</v>
      </c>
      <c r="U85" s="302">
        <f>R85</f>
        <v>0</v>
      </c>
      <c r="X85" s="206">
        <v>105</v>
      </c>
      <c r="Y85" s="206">
        <f>K85*4</f>
        <v>0</v>
      </c>
      <c r="AA85" s="302">
        <f>X85</f>
        <v>105</v>
      </c>
      <c r="AB85" s="302">
        <f>Y85</f>
        <v>0</v>
      </c>
    </row>
    <row r="102" spans="2:28">
      <c r="B102" s="203" t="s">
        <v>111</v>
      </c>
    </row>
    <row r="104" spans="2:28">
      <c r="C104" s="236" t="s">
        <v>149</v>
      </c>
      <c r="J104" s="203" t="s">
        <v>112</v>
      </c>
      <c r="Q104" s="203" t="s">
        <v>107</v>
      </c>
      <c r="X104" s="203" t="s">
        <v>108</v>
      </c>
    </row>
    <row r="105" spans="2:28">
      <c r="C105" s="306" t="s">
        <v>113</v>
      </c>
      <c r="D105" s="306" t="s">
        <v>114</v>
      </c>
      <c r="J105" s="306" t="s">
        <v>113</v>
      </c>
      <c r="K105" s="306" t="s">
        <v>114</v>
      </c>
      <c r="Q105" s="306" t="s">
        <v>113</v>
      </c>
      <c r="R105" s="306" t="s">
        <v>114</v>
      </c>
      <c r="X105" s="306" t="s">
        <v>113</v>
      </c>
      <c r="Y105" s="306" t="s">
        <v>114</v>
      </c>
    </row>
    <row r="106" spans="2:28">
      <c r="C106" s="306">
        <v>0</v>
      </c>
      <c r="D106" s="306">
        <v>350</v>
      </c>
      <c r="J106" s="306">
        <v>0</v>
      </c>
      <c r="K106" s="306">
        <v>350</v>
      </c>
      <c r="Q106" s="306">
        <v>0</v>
      </c>
      <c r="R106" s="306">
        <f>K106*2</f>
        <v>700</v>
      </c>
      <c r="X106" s="306">
        <v>0</v>
      </c>
      <c r="Y106" s="306">
        <f>K106*4</f>
        <v>1400</v>
      </c>
    </row>
    <row r="107" spans="2:28">
      <c r="C107" s="307">
        <v>85</v>
      </c>
      <c r="D107" s="306">
        <v>350</v>
      </c>
      <c r="F107" s="203" t="s">
        <v>74</v>
      </c>
      <c r="G107" s="203">
        <f>SLOPE(D107:D108,C107:C108)</f>
        <v>-6</v>
      </c>
      <c r="J107" s="307">
        <v>85</v>
      </c>
      <c r="K107" s="306">
        <v>350</v>
      </c>
      <c r="M107" s="203" t="s">
        <v>74</v>
      </c>
      <c r="N107" s="203">
        <f>SLOPE(K107:K108,J107:J108)</f>
        <v>-6</v>
      </c>
      <c r="Q107" s="307">
        <v>65</v>
      </c>
      <c r="R107" s="306">
        <f>K107*2</f>
        <v>700</v>
      </c>
      <c r="T107" s="203" t="s">
        <v>74</v>
      </c>
      <c r="U107" s="203">
        <f>SLOPE(R107:R108,Q107:Q108)</f>
        <v>-6</v>
      </c>
      <c r="X107" s="307">
        <v>65</v>
      </c>
      <c r="Y107" s="306">
        <f>K107*4</f>
        <v>1400</v>
      </c>
      <c r="AA107" s="203" t="s">
        <v>74</v>
      </c>
      <c r="AB107" s="203">
        <f>SLOPE(Y107:Y108,X107:X108)</f>
        <v>-12</v>
      </c>
    </row>
    <row r="108" spans="2:28">
      <c r="C108" s="306">
        <v>105</v>
      </c>
      <c r="D108" s="306">
        <v>230</v>
      </c>
      <c r="F108" s="203" t="s">
        <v>75</v>
      </c>
      <c r="G108" s="203">
        <f>INTERCEPT(D107:D108,C107:C108)</f>
        <v>860</v>
      </c>
      <c r="J108" s="306">
        <v>105</v>
      </c>
      <c r="K108" s="306">
        <v>230</v>
      </c>
      <c r="M108" s="203" t="s">
        <v>75</v>
      </c>
      <c r="N108" s="203">
        <f>INTERCEPT(K107:K108,J107:J108)</f>
        <v>860</v>
      </c>
      <c r="Q108" s="306">
        <v>105</v>
      </c>
      <c r="R108" s="306">
        <f>K108*2</f>
        <v>460</v>
      </c>
      <c r="T108" s="203" t="s">
        <v>75</v>
      </c>
      <c r="U108" s="203">
        <f>INTERCEPT(R107:R108,Q107:Q108)</f>
        <v>1090</v>
      </c>
      <c r="X108" s="306">
        <v>105</v>
      </c>
      <c r="Y108" s="306">
        <f>K108*4</f>
        <v>920</v>
      </c>
      <c r="AA108" s="203" t="s">
        <v>75</v>
      </c>
      <c r="AB108" s="203">
        <f>INTERCEPT(Y107:Y108,X107:X108)</f>
        <v>2180</v>
      </c>
    </row>
    <row r="109" spans="2:28">
      <c r="C109" s="306">
        <v>105</v>
      </c>
      <c r="D109" s="306">
        <v>0</v>
      </c>
      <c r="J109" s="306">
        <v>105</v>
      </c>
      <c r="K109" s="306">
        <v>0</v>
      </c>
      <c r="Q109" s="306">
        <v>105</v>
      </c>
      <c r="R109" s="306">
        <f>K109*2</f>
        <v>0</v>
      </c>
      <c r="X109" s="306">
        <v>105</v>
      </c>
      <c r="Y109" s="306">
        <f>K109*4</f>
        <v>0</v>
      </c>
    </row>
    <row r="126" spans="3:28">
      <c r="C126" s="203" t="s">
        <v>631</v>
      </c>
    </row>
    <row r="127" spans="3:28">
      <c r="C127" s="203" t="s">
        <v>266</v>
      </c>
      <c r="F127" s="203" t="s">
        <v>269</v>
      </c>
      <c r="J127" s="203" t="s">
        <v>266</v>
      </c>
      <c r="M127" s="203" t="s">
        <v>269</v>
      </c>
      <c r="Q127" s="203" t="s">
        <v>266</v>
      </c>
      <c r="T127" s="203" t="s">
        <v>269</v>
      </c>
      <c r="X127" s="203" t="s">
        <v>266</v>
      </c>
      <c r="AA127" s="203" t="s">
        <v>269</v>
      </c>
    </row>
    <row r="128" spans="3:28">
      <c r="C128" s="311" t="s">
        <v>268</v>
      </c>
      <c r="D128" s="311" t="s">
        <v>267</v>
      </c>
      <c r="F128" s="311" t="s">
        <v>268</v>
      </c>
      <c r="G128" s="311" t="s">
        <v>267</v>
      </c>
      <c r="J128" s="311" t="s">
        <v>268</v>
      </c>
      <c r="K128" s="311" t="s">
        <v>267</v>
      </c>
      <c r="M128" s="311" t="s">
        <v>268</v>
      </c>
      <c r="N128" s="311" t="s">
        <v>267</v>
      </c>
      <c r="Q128" s="311" t="s">
        <v>268</v>
      </c>
      <c r="R128" s="311" t="s">
        <v>267</v>
      </c>
      <c r="T128" s="311" t="s">
        <v>268</v>
      </c>
      <c r="U128" s="311" t="s">
        <v>267</v>
      </c>
      <c r="X128" s="311" t="s">
        <v>268</v>
      </c>
      <c r="Y128" s="311" t="s">
        <v>267</v>
      </c>
      <c r="AA128" s="311" t="s">
        <v>268</v>
      </c>
      <c r="AB128" s="311" t="s">
        <v>267</v>
      </c>
    </row>
    <row r="129" spans="3:28">
      <c r="C129" s="309">
        <v>104.05408546064179</v>
      </c>
      <c r="D129" s="309">
        <v>300</v>
      </c>
      <c r="F129" s="309">
        <v>90</v>
      </c>
      <c r="G129" s="309">
        <v>1021.5031914026682</v>
      </c>
      <c r="J129" s="309">
        <v>106.42575342399756</v>
      </c>
      <c r="K129" s="309">
        <v>300</v>
      </c>
      <c r="M129" s="309">
        <v>85</v>
      </c>
      <c r="N129" s="309">
        <v>578.64967167371776</v>
      </c>
      <c r="Q129" s="309">
        <v>104.17682692446191</v>
      </c>
      <c r="R129" s="309">
        <v>600</v>
      </c>
      <c r="T129" s="309">
        <v>85</v>
      </c>
      <c r="U129" s="309">
        <v>621.71309617099109</v>
      </c>
      <c r="X129" s="309">
        <v>99.22287411602349</v>
      </c>
      <c r="Y129" s="309">
        <v>1200</v>
      </c>
      <c r="AA129" s="309">
        <v>85</v>
      </c>
      <c r="AB129" s="309">
        <v>1234.8300416854238</v>
      </c>
    </row>
    <row r="130" spans="3:28">
      <c r="C130" s="309">
        <v>113.28248742741461</v>
      </c>
      <c r="D130" s="309">
        <v>230</v>
      </c>
      <c r="F130" s="309">
        <v>105</v>
      </c>
      <c r="G130" s="309">
        <v>802.34774484946365</v>
      </c>
      <c r="J130" s="309">
        <v>115.22610840755731</v>
      </c>
      <c r="K130" s="309">
        <v>230</v>
      </c>
      <c r="M130" s="309">
        <v>105</v>
      </c>
      <c r="N130" s="309">
        <v>471.78363999649184</v>
      </c>
      <c r="Q130" s="309">
        <v>113.5746980846008</v>
      </c>
      <c r="R130" s="309">
        <v>460</v>
      </c>
      <c r="T130" s="309">
        <v>105</v>
      </c>
      <c r="U130" s="309">
        <v>511.8932506967987</v>
      </c>
      <c r="X130" s="309">
        <v>109.94127235783611</v>
      </c>
      <c r="Y130" s="309">
        <v>920</v>
      </c>
      <c r="AA130" s="309">
        <v>105</v>
      </c>
      <c r="AB130" s="309">
        <v>1016.6908790589868</v>
      </c>
    </row>
    <row r="131" spans="3:28">
      <c r="C131" s="309">
        <v>127.14860772651872</v>
      </c>
      <c r="D131" s="309">
        <v>120</v>
      </c>
      <c r="F131" s="309">
        <v>120</v>
      </c>
      <c r="G131" s="309">
        <v>641.65012095108443</v>
      </c>
      <c r="J131" s="309">
        <v>127.98688747594973</v>
      </c>
      <c r="K131" s="309">
        <v>120</v>
      </c>
      <c r="M131" s="309">
        <v>120</v>
      </c>
      <c r="N131" s="309">
        <v>390.86335008821027</v>
      </c>
      <c r="Q131" s="309">
        <v>127.19124803521957</v>
      </c>
      <c r="R131" s="309">
        <v>240</v>
      </c>
      <c r="T131" s="309">
        <v>120</v>
      </c>
      <c r="U131" s="309">
        <v>424.98316017085222</v>
      </c>
      <c r="X131" s="309">
        <v>125.44229292826823</v>
      </c>
      <c r="Y131" s="309">
        <v>480</v>
      </c>
      <c r="AA131" s="309">
        <v>120</v>
      </c>
      <c r="AB131" s="309">
        <v>844.03470746253583</v>
      </c>
    </row>
    <row r="133" spans="3:28">
      <c r="C133" s="203" t="s">
        <v>635</v>
      </c>
    </row>
    <row r="134" spans="3:28">
      <c r="C134" s="203" t="s">
        <v>632</v>
      </c>
      <c r="J134" s="203" t="s">
        <v>632</v>
      </c>
      <c r="Q134" s="203" t="s">
        <v>632</v>
      </c>
      <c r="X134" s="203" t="s">
        <v>632</v>
      </c>
    </row>
    <row r="135" spans="3:28">
      <c r="C135" s="311" t="s">
        <v>633</v>
      </c>
      <c r="D135" s="311" t="s">
        <v>634</v>
      </c>
      <c r="J135" s="311" t="s">
        <v>633</v>
      </c>
      <c r="K135" s="311" t="s">
        <v>634</v>
      </c>
      <c r="Q135" s="311" t="s">
        <v>633</v>
      </c>
      <c r="R135" s="311" t="s">
        <v>634</v>
      </c>
      <c r="X135" s="311" t="s">
        <v>633</v>
      </c>
      <c r="Y135" s="311" t="s">
        <v>634</v>
      </c>
    </row>
    <row r="136" spans="3:28">
      <c r="C136" s="698">
        <v>96.642046414396063</v>
      </c>
      <c r="D136" s="309">
        <v>300</v>
      </c>
      <c r="J136" s="698">
        <v>99.503939563955726</v>
      </c>
      <c r="K136" s="309">
        <v>300</v>
      </c>
      <c r="Q136" s="698">
        <v>96.779973938147549</v>
      </c>
      <c r="R136" s="309">
        <v>600</v>
      </c>
      <c r="X136" s="698">
        <v>90.773235871025776</v>
      </c>
      <c r="Y136" s="309">
        <v>1200</v>
      </c>
    </row>
    <row r="137" spans="3:28">
      <c r="C137" s="698">
        <v>107.8102180084318</v>
      </c>
      <c r="D137" s="309">
        <v>230</v>
      </c>
      <c r="J137" s="698">
        <v>110.14725340633434</v>
      </c>
      <c r="K137" s="309">
        <v>230</v>
      </c>
      <c r="Q137" s="698">
        <v>108.15220951005998</v>
      </c>
      <c r="R137" s="309">
        <v>460</v>
      </c>
      <c r="X137" s="698">
        <v>103.75859220111558</v>
      </c>
      <c r="Y137" s="309">
        <v>920</v>
      </c>
    </row>
    <row r="138" spans="3:28">
      <c r="C138" s="698">
        <v>124.53471824887889</v>
      </c>
      <c r="D138" s="309">
        <v>120</v>
      </c>
      <c r="J138" s="698">
        <v>125.54133348138986</v>
      </c>
      <c r="K138" s="309">
        <v>120</v>
      </c>
      <c r="Q138" s="698">
        <v>124.58236527875947</v>
      </c>
      <c r="R138" s="309">
        <v>240</v>
      </c>
      <c r="X138" s="698">
        <v>122.47491179571257</v>
      </c>
      <c r="Y138" s="309">
        <v>480</v>
      </c>
    </row>
  </sheetData>
  <sheetProtection password="A7EA" sheet="1" objects="1" scenarios="1"/>
  <phoneticPr fontId="7"/>
  <pageMargins left="0.7" right="0.7" top="0.75" bottom="0.75" header="0.3" footer="0.3"/>
  <drawing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7"/>
  <dimension ref="B2:BI122"/>
  <sheetViews>
    <sheetView topLeftCell="AQ1" zoomScale="70" zoomScaleNormal="70" workbookViewId="0">
      <selection activeCell="BG9" sqref="BG9"/>
    </sheetView>
  </sheetViews>
  <sheetFormatPr defaultRowHeight="15.75"/>
  <cols>
    <col min="1" max="2" width="4" style="700" customWidth="1"/>
    <col min="3" max="36" width="9" style="700"/>
    <col min="37" max="37" width="9.5" style="700" bestFit="1" customWidth="1"/>
    <col min="38" max="16384" width="9" style="700"/>
  </cols>
  <sheetData>
    <row r="2" spans="2:60">
      <c r="B2" s="699" t="s">
        <v>265</v>
      </c>
      <c r="T2" s="701">
        <v>350</v>
      </c>
      <c r="U2" s="701">
        <v>119.9</v>
      </c>
      <c r="AA2" s="701">
        <v>700</v>
      </c>
      <c r="AB2" s="701">
        <v>117.3</v>
      </c>
    </row>
    <row r="3" spans="2:60">
      <c r="F3" s="702" t="s">
        <v>74</v>
      </c>
      <c r="G3" s="702">
        <f>SLOPE(G8:G9,F8:F9)</f>
        <v>-5.9999999999999911</v>
      </c>
      <c r="M3" s="702" t="s">
        <v>74</v>
      </c>
      <c r="N3" s="702">
        <f>SLOPE(N8:N9,M8:M9)</f>
        <v>-5.9999999999999911</v>
      </c>
      <c r="T3" s="702" t="s">
        <v>74</v>
      </c>
      <c r="U3" s="703">
        <f>SLOPE(U8:U9,T8:T9)</f>
        <v>-7.7142857142857109</v>
      </c>
      <c r="AA3" s="702" t="s">
        <v>74</v>
      </c>
      <c r="AB3" s="703">
        <f>SLOPE(AB8:AB9,AA8:AA9)</f>
        <v>-13.714285714285708</v>
      </c>
    </row>
    <row r="4" spans="2:60">
      <c r="F4" s="702" t="s">
        <v>75</v>
      </c>
      <c r="G4" s="702">
        <f>INTERCEPT(G8:G9,F8:F9)</f>
        <v>859.99999999999909</v>
      </c>
      <c r="M4" s="702" t="s">
        <v>75</v>
      </c>
      <c r="N4" s="702">
        <f>INTERCEPT(N8:N9,M8:M9)</f>
        <v>859.99999999999909</v>
      </c>
      <c r="T4" s="702" t="s">
        <v>75</v>
      </c>
      <c r="U4" s="703">
        <f>INTERCEPT(U8:U9,T8:T9)</f>
        <v>1229.9999999999995</v>
      </c>
      <c r="AA4" s="702" t="s">
        <v>75</v>
      </c>
      <c r="AB4" s="703">
        <f>INTERCEPT(AB8:AB9,AA8:AA9)</f>
        <v>2319.9999999999991</v>
      </c>
      <c r="AD4" s="704" t="s">
        <v>616</v>
      </c>
      <c r="AJ4" s="704" t="s">
        <v>616</v>
      </c>
      <c r="AX4" s="702" t="s">
        <v>74</v>
      </c>
      <c r="AY4" s="702">
        <f>SLOPE(AY9:AY10,AX9:AX10)</f>
        <v>-5.9999999999999911</v>
      </c>
      <c r="BG4" s="702" t="s">
        <v>74</v>
      </c>
      <c r="BH4" s="702">
        <f>SLOPE(BH9:BH10,BG9:BG10)</f>
        <v>-17.999999999999972</v>
      </c>
    </row>
    <row r="5" spans="2:60">
      <c r="C5" s="704" t="s">
        <v>149</v>
      </c>
      <c r="J5" s="700" t="s">
        <v>112</v>
      </c>
      <c r="Q5" s="700" t="s">
        <v>107</v>
      </c>
      <c r="X5" s="700" t="s">
        <v>108</v>
      </c>
      <c r="AD5" s="700" t="s">
        <v>108</v>
      </c>
      <c r="AJ5" s="700" t="s">
        <v>107</v>
      </c>
      <c r="AX5" s="702" t="s">
        <v>75</v>
      </c>
      <c r="AY5" s="702">
        <f>INTERCEPT(AY9:AY10,AX9:AX10)</f>
        <v>859.99999999999909</v>
      </c>
      <c r="BG5" s="702" t="s">
        <v>75</v>
      </c>
      <c r="BH5" s="702">
        <f>INTERCEPT(BH9:BH10,BG9:BG10)</f>
        <v>2579.9999999999973</v>
      </c>
    </row>
    <row r="6" spans="2:60">
      <c r="C6" s="195" t="s">
        <v>113</v>
      </c>
      <c r="D6" s="195" t="s">
        <v>114</v>
      </c>
      <c r="F6" s="705" t="s">
        <v>262</v>
      </c>
      <c r="G6" s="705" t="s">
        <v>263</v>
      </c>
      <c r="J6" s="195" t="s">
        <v>113</v>
      </c>
      <c r="K6" s="195" t="s">
        <v>114</v>
      </c>
      <c r="M6" s="705" t="s">
        <v>262</v>
      </c>
      <c r="N6" s="705" t="s">
        <v>263</v>
      </c>
      <c r="Q6" s="195" t="s">
        <v>113</v>
      </c>
      <c r="R6" s="195" t="s">
        <v>114</v>
      </c>
      <c r="T6" s="705" t="s">
        <v>262</v>
      </c>
      <c r="U6" s="705" t="s">
        <v>263</v>
      </c>
      <c r="X6" s="195" t="s">
        <v>113</v>
      </c>
      <c r="Y6" s="195" t="s">
        <v>114</v>
      </c>
      <c r="AA6" s="705" t="s">
        <v>262</v>
      </c>
      <c r="AB6" s="705" t="s">
        <v>263</v>
      </c>
      <c r="AD6" s="195" t="s">
        <v>113</v>
      </c>
      <c r="AE6" s="195" t="s">
        <v>114</v>
      </c>
      <c r="AG6" s="705" t="s">
        <v>262</v>
      </c>
      <c r="AH6" s="705" t="s">
        <v>263</v>
      </c>
      <c r="AJ6" s="195" t="s">
        <v>113</v>
      </c>
      <c r="AK6" s="195" t="s">
        <v>114</v>
      </c>
      <c r="AM6" s="705" t="s">
        <v>262</v>
      </c>
      <c r="AN6" s="705" t="s">
        <v>263</v>
      </c>
      <c r="AU6" s="704" t="s">
        <v>614</v>
      </c>
      <c r="BD6" s="704" t="s">
        <v>669</v>
      </c>
    </row>
    <row r="7" spans="2:60">
      <c r="C7" s="195">
        <v>0</v>
      </c>
      <c r="D7" s="195">
        <v>350</v>
      </c>
      <c r="F7" s="705">
        <f>C7</f>
        <v>0</v>
      </c>
      <c r="G7" s="705">
        <f>G8</f>
        <v>300</v>
      </c>
      <c r="J7" s="195">
        <v>0</v>
      </c>
      <c r="K7" s="195">
        <v>350</v>
      </c>
      <c r="M7" s="705">
        <f>J7</f>
        <v>0</v>
      </c>
      <c r="N7" s="705">
        <f>N8</f>
        <v>300</v>
      </c>
      <c r="Q7" s="195">
        <v>0</v>
      </c>
      <c r="R7" s="195">
        <f>K7*2</f>
        <v>700</v>
      </c>
      <c r="T7" s="705">
        <f>Q7</f>
        <v>0</v>
      </c>
      <c r="U7" s="705">
        <f>U8</f>
        <v>600</v>
      </c>
      <c r="X7" s="195">
        <v>0</v>
      </c>
      <c r="Y7" s="195">
        <f>K7*4</f>
        <v>1400</v>
      </c>
      <c r="AA7" s="705">
        <f>X7</f>
        <v>0</v>
      </c>
      <c r="AB7" s="705">
        <f>AB8</f>
        <v>1200</v>
      </c>
      <c r="AD7" s="195">
        <v>0</v>
      </c>
      <c r="AE7" s="195">
        <f>K7*4</f>
        <v>1400</v>
      </c>
      <c r="AG7" s="705">
        <f>AD7</f>
        <v>0</v>
      </c>
      <c r="AH7" s="705">
        <f>AH8</f>
        <v>1200</v>
      </c>
      <c r="AJ7" s="195">
        <v>0</v>
      </c>
      <c r="AK7" s="195">
        <f>K7*2</f>
        <v>700</v>
      </c>
      <c r="AM7" s="705">
        <f>Q7</f>
        <v>0</v>
      </c>
      <c r="AN7" s="705">
        <f>U8</f>
        <v>600</v>
      </c>
      <c r="AU7" s="195" t="s">
        <v>113</v>
      </c>
      <c r="AV7" s="195" t="s">
        <v>114</v>
      </c>
      <c r="AX7" s="705" t="s">
        <v>262</v>
      </c>
      <c r="AY7" s="705" t="s">
        <v>263</v>
      </c>
      <c r="BD7" s="195" t="s">
        <v>113</v>
      </c>
      <c r="BE7" s="195" t="s">
        <v>114</v>
      </c>
      <c r="BG7" s="705" t="s">
        <v>262</v>
      </c>
      <c r="BH7" s="705" t="s">
        <v>263</v>
      </c>
    </row>
    <row r="8" spans="2:60">
      <c r="C8" s="706">
        <v>85</v>
      </c>
      <c r="D8" s="195">
        <v>350</v>
      </c>
      <c r="F8" s="707">
        <f>FORECAST(G8,C8:C9,D8:D9)</f>
        <v>93.333333333333314</v>
      </c>
      <c r="G8" s="708">
        <v>300</v>
      </c>
      <c r="J8" s="706">
        <v>85</v>
      </c>
      <c r="K8" s="195">
        <v>350</v>
      </c>
      <c r="M8" s="709">
        <f>FORECAST(N8,J8:J9,K8:K9)</f>
        <v>93.333333333333314</v>
      </c>
      <c r="N8" s="708">
        <v>300</v>
      </c>
      <c r="Q8" s="706">
        <v>65</v>
      </c>
      <c r="R8" s="195">
        <f>K8*2</f>
        <v>700</v>
      </c>
      <c r="T8" s="707">
        <f>AM8</f>
        <v>81.666666666666657</v>
      </c>
      <c r="U8" s="708">
        <f>300*2</f>
        <v>600</v>
      </c>
      <c r="X8" s="706">
        <v>65</v>
      </c>
      <c r="Y8" s="195">
        <f>K8*4</f>
        <v>1400</v>
      </c>
      <c r="AA8" s="707">
        <f>AG8</f>
        <v>81.666666666666657</v>
      </c>
      <c r="AB8" s="708">
        <f>300*4</f>
        <v>1200</v>
      </c>
      <c r="AD8" s="706">
        <v>65</v>
      </c>
      <c r="AE8" s="195">
        <f>K8*4</f>
        <v>1400</v>
      </c>
      <c r="AG8" s="707">
        <f>FORECAST(AH8,AD8:AD9,AE8:AE9)</f>
        <v>81.666666666666657</v>
      </c>
      <c r="AH8" s="708">
        <f>300*4</f>
        <v>1200</v>
      </c>
      <c r="AJ8" s="706">
        <v>65</v>
      </c>
      <c r="AK8" s="195">
        <f>K8*2</f>
        <v>700</v>
      </c>
      <c r="AM8" s="707">
        <f>FORECAST(AN8,AJ8:AJ9,AK8:AK9)</f>
        <v>81.666666666666657</v>
      </c>
      <c r="AN8" s="708">
        <f>300*2</f>
        <v>600</v>
      </c>
      <c r="AU8" s="195">
        <v>0</v>
      </c>
      <c r="AV8" s="195">
        <v>350</v>
      </c>
      <c r="AX8" s="705">
        <f>AU8</f>
        <v>0</v>
      </c>
      <c r="AY8" s="705">
        <f>AY9</f>
        <v>300</v>
      </c>
      <c r="BD8" s="195">
        <v>0</v>
      </c>
      <c r="BE8" s="195">
        <f>K7*3</f>
        <v>1050</v>
      </c>
      <c r="BG8" s="705">
        <f>BD8</f>
        <v>0</v>
      </c>
      <c r="BH8" s="705">
        <f>BH9</f>
        <v>900</v>
      </c>
    </row>
    <row r="9" spans="2:60">
      <c r="C9" s="195">
        <v>105</v>
      </c>
      <c r="D9" s="195">
        <v>230</v>
      </c>
      <c r="F9" s="705">
        <f>C9</f>
        <v>105</v>
      </c>
      <c r="G9" s="705">
        <f>D9</f>
        <v>230</v>
      </c>
      <c r="J9" s="195">
        <v>105</v>
      </c>
      <c r="K9" s="195">
        <v>230</v>
      </c>
      <c r="M9" s="705">
        <f>J9</f>
        <v>105</v>
      </c>
      <c r="N9" s="705">
        <f>K9</f>
        <v>230</v>
      </c>
      <c r="Q9" s="195">
        <v>105</v>
      </c>
      <c r="R9" s="706">
        <f>210*2</f>
        <v>420</v>
      </c>
      <c r="T9" s="705">
        <f>Q9</f>
        <v>105</v>
      </c>
      <c r="U9" s="708">
        <f>R9</f>
        <v>420</v>
      </c>
      <c r="X9" s="195">
        <v>105</v>
      </c>
      <c r="Y9" s="706">
        <f>220*4</f>
        <v>880</v>
      </c>
      <c r="AA9" s="705">
        <f>X9</f>
        <v>105</v>
      </c>
      <c r="AB9" s="708">
        <f>Y9</f>
        <v>880</v>
      </c>
      <c r="AD9" s="195">
        <v>105</v>
      </c>
      <c r="AE9" s="706">
        <f>230*4</f>
        <v>920</v>
      </c>
      <c r="AG9" s="705">
        <f>AD9</f>
        <v>105</v>
      </c>
      <c r="AH9" s="708">
        <f>AE9</f>
        <v>920</v>
      </c>
      <c r="AJ9" s="195">
        <v>105</v>
      </c>
      <c r="AK9" s="706">
        <f>230*2</f>
        <v>460</v>
      </c>
      <c r="AM9" s="705">
        <f>Q9</f>
        <v>105</v>
      </c>
      <c r="AN9" s="708">
        <f>AK9</f>
        <v>460</v>
      </c>
      <c r="AU9" s="706">
        <v>85</v>
      </c>
      <c r="AV9" s="195">
        <v>350</v>
      </c>
      <c r="AX9" s="709">
        <f>FORECAST(AY9,AU9:AU10,AV9:AV10)</f>
        <v>93.333333333333314</v>
      </c>
      <c r="AY9" s="708">
        <v>300</v>
      </c>
      <c r="BD9" s="706">
        <v>85</v>
      </c>
      <c r="BE9" s="195">
        <f>K8*3</f>
        <v>1050</v>
      </c>
      <c r="BG9" s="709">
        <f>FORECAST(BH9,BD9:BD10,BE9:BE10)</f>
        <v>93.333333333333314</v>
      </c>
      <c r="BH9" s="708">
        <f>300*3</f>
        <v>900</v>
      </c>
    </row>
    <row r="10" spans="2:60">
      <c r="C10" s="195">
        <v>105</v>
      </c>
      <c r="D10" s="195">
        <v>0</v>
      </c>
      <c r="F10" s="705">
        <f>C10</f>
        <v>105</v>
      </c>
      <c r="G10" s="705">
        <f>D10</f>
        <v>0</v>
      </c>
      <c r="J10" s="195">
        <v>105</v>
      </c>
      <c r="K10" s="195">
        <v>0</v>
      </c>
      <c r="M10" s="705">
        <f>J10</f>
        <v>105</v>
      </c>
      <c r="N10" s="705">
        <f>K10</f>
        <v>0</v>
      </c>
      <c r="Q10" s="195">
        <v>105</v>
      </c>
      <c r="R10" s="195">
        <f>K10*2</f>
        <v>0</v>
      </c>
      <c r="T10" s="705">
        <f>Q10</f>
        <v>105</v>
      </c>
      <c r="U10" s="705">
        <f>R10</f>
        <v>0</v>
      </c>
      <c r="X10" s="195">
        <v>105</v>
      </c>
      <c r="Y10" s="195">
        <f>K10*4</f>
        <v>0</v>
      </c>
      <c r="AA10" s="705">
        <f>X10</f>
        <v>105</v>
      </c>
      <c r="AB10" s="705">
        <f>Y10</f>
        <v>0</v>
      </c>
      <c r="AD10" s="195">
        <v>105</v>
      </c>
      <c r="AE10" s="195">
        <f>K10*4</f>
        <v>0</v>
      </c>
      <c r="AG10" s="705">
        <f>AD10</f>
        <v>105</v>
      </c>
      <c r="AH10" s="705">
        <f>AE10</f>
        <v>0</v>
      </c>
      <c r="AJ10" s="195">
        <v>105</v>
      </c>
      <c r="AK10" s="195">
        <f>K10*2</f>
        <v>0</v>
      </c>
      <c r="AM10" s="705">
        <f>Q10</f>
        <v>105</v>
      </c>
      <c r="AN10" s="705">
        <f>R10</f>
        <v>0</v>
      </c>
      <c r="AU10" s="195">
        <v>105</v>
      </c>
      <c r="AV10" s="195">
        <v>230</v>
      </c>
      <c r="AX10" s="705">
        <f>AU10</f>
        <v>105</v>
      </c>
      <c r="AY10" s="705">
        <f>AV10</f>
        <v>230</v>
      </c>
      <c r="BD10" s="195">
        <v>105</v>
      </c>
      <c r="BE10" s="195">
        <f>K9*3</f>
        <v>690</v>
      </c>
      <c r="BG10" s="705">
        <f>BD10</f>
        <v>105</v>
      </c>
      <c r="BH10" s="705">
        <f>BE10</f>
        <v>690</v>
      </c>
    </row>
    <row r="11" spans="2:60">
      <c r="AU11" s="195">
        <v>105</v>
      </c>
      <c r="AV11" s="195">
        <v>0</v>
      </c>
      <c r="AX11" s="705">
        <f>AU11</f>
        <v>105</v>
      </c>
      <c r="AY11" s="705">
        <f>AV11</f>
        <v>0</v>
      </c>
      <c r="BD11" s="195">
        <v>105</v>
      </c>
      <c r="BE11" s="195">
        <f>K10*3</f>
        <v>0</v>
      </c>
      <c r="BG11" s="705">
        <f>BD11</f>
        <v>105</v>
      </c>
      <c r="BH11" s="705">
        <f>BE11</f>
        <v>0</v>
      </c>
    </row>
    <row r="27" spans="2:61">
      <c r="B27" s="700" t="s">
        <v>265</v>
      </c>
      <c r="S27" s="700">
        <v>81.6666666666667</v>
      </c>
      <c r="AF27" s="710" t="s">
        <v>268</v>
      </c>
      <c r="AG27" s="710" t="s">
        <v>267</v>
      </c>
      <c r="AH27" s="196" t="s">
        <v>273</v>
      </c>
      <c r="AI27" s="196" t="s">
        <v>272</v>
      </c>
      <c r="AJ27" s="710"/>
      <c r="AL27" s="710"/>
      <c r="AM27" s="710"/>
      <c r="AU27" s="700" t="s">
        <v>644</v>
      </c>
      <c r="BD27" s="700" t="s">
        <v>644</v>
      </c>
    </row>
    <row r="28" spans="2:61">
      <c r="F28" s="700" t="s">
        <v>74</v>
      </c>
      <c r="G28" s="700">
        <f>SLOPE(G33:G34,F33:F34)</f>
        <v>-5.9999999999999911</v>
      </c>
      <c r="M28" s="700" t="s">
        <v>74</v>
      </c>
      <c r="N28" s="700">
        <f>SLOPE(N33:N34,M33:M34)</f>
        <v>-5.9999999999999911</v>
      </c>
      <c r="T28" s="700" t="s">
        <v>74</v>
      </c>
      <c r="U28" s="700">
        <f>SLOPE(U33:U34,T33:T34)</f>
        <v>-5.9999999999999973</v>
      </c>
      <c r="AA28" s="700" t="s">
        <v>74</v>
      </c>
      <c r="AB28" s="700">
        <f>SLOPE(AB33:AB34,AA33:AA34)</f>
        <v>-11.999999999999995</v>
      </c>
      <c r="AF28" s="710">
        <v>85</v>
      </c>
      <c r="AG28" s="710">
        <v>1080</v>
      </c>
      <c r="AH28" s="312">
        <v>0.97651678409689591</v>
      </c>
      <c r="AI28" s="196">
        <v>3000</v>
      </c>
      <c r="AJ28" s="710"/>
      <c r="AL28" s="710"/>
      <c r="AM28" s="710"/>
      <c r="AU28" s="700" t="s">
        <v>266</v>
      </c>
      <c r="AX28" s="700" t="s">
        <v>269</v>
      </c>
      <c r="BD28" s="700" t="s">
        <v>266</v>
      </c>
      <c r="BG28" s="700" t="s">
        <v>269</v>
      </c>
    </row>
    <row r="29" spans="2:61">
      <c r="F29" s="700" t="s">
        <v>75</v>
      </c>
      <c r="G29" s="700">
        <f>INTERCEPT(G33:G34,F33:F34)</f>
        <v>859.99999999999909</v>
      </c>
      <c r="M29" s="700" t="s">
        <v>75</v>
      </c>
      <c r="N29" s="700">
        <f>INTERCEPT(N33:N34,M33:M34)</f>
        <v>859.99999999999909</v>
      </c>
      <c r="T29" s="700" t="s">
        <v>75</v>
      </c>
      <c r="U29" s="700">
        <f>INTERCEPT(U33:U34,T33:T34)</f>
        <v>1089.9999999999998</v>
      </c>
      <c r="AA29" s="700" t="s">
        <v>75</v>
      </c>
      <c r="AB29" s="700">
        <f>INTERCEPT(AB33:AB34,AA33:AA34)</f>
        <v>2179.9999999999995</v>
      </c>
      <c r="AF29" s="710">
        <v>85</v>
      </c>
      <c r="AG29" s="710">
        <v>1200</v>
      </c>
      <c r="AH29" s="312">
        <v>0.96386429386959604</v>
      </c>
      <c r="AI29" s="196">
        <v>3000</v>
      </c>
      <c r="AJ29" s="710"/>
      <c r="AU29" s="196" t="s">
        <v>268</v>
      </c>
      <c r="AV29" s="196" t="s">
        <v>267</v>
      </c>
      <c r="AX29" s="196" t="s">
        <v>268</v>
      </c>
      <c r="AY29" s="196" t="s">
        <v>267</v>
      </c>
      <c r="BD29" s="196" t="s">
        <v>268</v>
      </c>
      <c r="BE29" s="196" t="s">
        <v>267</v>
      </c>
      <c r="BG29" s="196" t="s">
        <v>268</v>
      </c>
      <c r="BH29" s="196" t="s">
        <v>267</v>
      </c>
    </row>
    <row r="30" spans="2:61">
      <c r="C30" s="704" t="s">
        <v>149</v>
      </c>
      <c r="J30" s="700" t="s">
        <v>112</v>
      </c>
      <c r="Q30" s="700" t="s">
        <v>107</v>
      </c>
      <c r="X30" s="700" t="s">
        <v>108</v>
      </c>
      <c r="AF30" s="710">
        <v>85</v>
      </c>
      <c r="AG30" s="710">
        <v>1400</v>
      </c>
      <c r="AH30" s="312">
        <v>0.96176231602183859</v>
      </c>
      <c r="AI30" s="196">
        <v>3000</v>
      </c>
      <c r="AJ30" s="710"/>
      <c r="AU30" s="717">
        <v>105.21627235270203</v>
      </c>
      <c r="AV30" s="717">
        <v>300</v>
      </c>
      <c r="AX30" s="717">
        <v>85</v>
      </c>
      <c r="AY30" s="717">
        <v>686.08950758245931</v>
      </c>
      <c r="BA30" s="700">
        <v>106.42575342399756</v>
      </c>
      <c r="BB30" s="700">
        <v>300</v>
      </c>
      <c r="BD30" s="717">
        <v>105.76208963553007</v>
      </c>
      <c r="BE30" s="717">
        <v>900</v>
      </c>
      <c r="BG30" s="717">
        <v>85</v>
      </c>
      <c r="BH30" s="717">
        <v>1735.9489706440918</v>
      </c>
      <c r="BI30" s="700">
        <v>1732.7939694442671</v>
      </c>
    </row>
    <row r="31" spans="2:61">
      <c r="C31" s="195" t="s">
        <v>113</v>
      </c>
      <c r="D31" s="195" t="s">
        <v>114</v>
      </c>
      <c r="F31" s="705" t="s">
        <v>262</v>
      </c>
      <c r="G31" s="705" t="s">
        <v>263</v>
      </c>
      <c r="H31" s="710" t="s">
        <v>274</v>
      </c>
      <c r="I31" s="710" t="s">
        <v>40</v>
      </c>
      <c r="J31" s="195" t="s">
        <v>113</v>
      </c>
      <c r="K31" s="195" t="s">
        <v>114</v>
      </c>
      <c r="M31" s="705" t="s">
        <v>262</v>
      </c>
      <c r="N31" s="705" t="s">
        <v>263</v>
      </c>
      <c r="O31" s="710" t="s">
        <v>274</v>
      </c>
      <c r="P31" s="710" t="s">
        <v>40</v>
      </c>
      <c r="Q31" s="195" t="s">
        <v>113</v>
      </c>
      <c r="R31" s="195" t="s">
        <v>114</v>
      </c>
      <c r="T31" s="705" t="s">
        <v>262</v>
      </c>
      <c r="U31" s="705" t="s">
        <v>263</v>
      </c>
      <c r="V31" s="710" t="s">
        <v>274</v>
      </c>
      <c r="W31" s="710" t="s">
        <v>40</v>
      </c>
      <c r="X31" s="195" t="s">
        <v>113</v>
      </c>
      <c r="Y31" s="195" t="s">
        <v>114</v>
      </c>
      <c r="AA31" s="705" t="s">
        <v>262</v>
      </c>
      <c r="AB31" s="705" t="s">
        <v>263</v>
      </c>
      <c r="AC31" s="710" t="s">
        <v>274</v>
      </c>
      <c r="AD31" s="710" t="s">
        <v>40</v>
      </c>
      <c r="AF31" s="710">
        <v>85</v>
      </c>
      <c r="AG31" s="710">
        <v>1600</v>
      </c>
      <c r="AH31" s="312">
        <v>0.9642967277564195</v>
      </c>
      <c r="AI31" s="196">
        <v>3000</v>
      </c>
      <c r="AJ31" s="710"/>
      <c r="AU31" s="717">
        <v>114.33777487200427</v>
      </c>
      <c r="AV31" s="717">
        <v>230</v>
      </c>
      <c r="AX31" s="717">
        <v>105</v>
      </c>
      <c r="AY31" s="717">
        <v>556.57157529077801</v>
      </c>
      <c r="BA31" s="700">
        <v>115.22610840755731</v>
      </c>
      <c r="BB31" s="700">
        <v>230</v>
      </c>
      <c r="BD31" s="717">
        <v>114.73807790046703</v>
      </c>
      <c r="BE31" s="717">
        <v>690</v>
      </c>
      <c r="BG31" s="717">
        <v>105</v>
      </c>
      <c r="BH31" s="717">
        <v>1415.350919983395</v>
      </c>
      <c r="BI31" s="700">
        <v>1416.3409809702907</v>
      </c>
    </row>
    <row r="32" spans="2:61">
      <c r="C32" s="195">
        <v>0</v>
      </c>
      <c r="D32" s="195">
        <v>350</v>
      </c>
      <c r="F32" s="705">
        <f>C32</f>
        <v>0</v>
      </c>
      <c r="G32" s="708">
        <v>300</v>
      </c>
      <c r="J32" s="195">
        <v>0</v>
      </c>
      <c r="K32" s="195">
        <v>350</v>
      </c>
      <c r="M32" s="705">
        <f>J32</f>
        <v>0</v>
      </c>
      <c r="N32" s="708">
        <v>300</v>
      </c>
      <c r="Q32" s="195">
        <v>0</v>
      </c>
      <c r="R32" s="195">
        <f>K32*2</f>
        <v>700</v>
      </c>
      <c r="T32" s="705">
        <f>Q32</f>
        <v>0</v>
      </c>
      <c r="U32" s="708">
        <f>U33</f>
        <v>600</v>
      </c>
      <c r="X32" s="195">
        <v>0</v>
      </c>
      <c r="Y32" s="195">
        <f>K32*4</f>
        <v>1400</v>
      </c>
      <c r="AA32" s="705">
        <f>X32</f>
        <v>0</v>
      </c>
      <c r="AB32" s="708">
        <f>AB33</f>
        <v>1200</v>
      </c>
      <c r="AF32" s="710">
        <v>105</v>
      </c>
      <c r="AG32" s="710">
        <v>920</v>
      </c>
      <c r="AH32" s="312">
        <v>0.97003975817046817</v>
      </c>
      <c r="AI32" s="196">
        <v>3000</v>
      </c>
      <c r="AU32" s="717">
        <v>127.55863580152585</v>
      </c>
      <c r="AV32" s="717">
        <v>120</v>
      </c>
      <c r="AX32" s="717">
        <v>120</v>
      </c>
      <c r="AY32" s="717">
        <v>459.87949972696725</v>
      </c>
      <c r="BA32" s="700">
        <v>127.98688747594973</v>
      </c>
      <c r="BB32" s="700">
        <v>120</v>
      </c>
      <c r="BD32" s="717">
        <v>127.75128729726615</v>
      </c>
      <c r="BE32" s="717">
        <v>360</v>
      </c>
      <c r="BG32" s="717">
        <v>120</v>
      </c>
      <c r="BH32" s="717">
        <v>1172.5900502646309</v>
      </c>
      <c r="BI32" s="700">
        <v>1173.8728018679549</v>
      </c>
    </row>
    <row r="33" spans="3:61">
      <c r="C33" s="706">
        <v>85</v>
      </c>
      <c r="D33" s="195">
        <v>350</v>
      </c>
      <c r="F33" s="707">
        <f>FORECAST(G33,C33:C34,D33:D34)</f>
        <v>93.333333333333314</v>
      </c>
      <c r="G33" s="708">
        <v>300</v>
      </c>
      <c r="H33" s="700">
        <v>144.1332823507289</v>
      </c>
      <c r="I33" s="700">
        <v>129</v>
      </c>
      <c r="J33" s="706">
        <v>85</v>
      </c>
      <c r="K33" s="195">
        <v>350</v>
      </c>
      <c r="M33" s="707">
        <f>FORECAST(N33,J33:J34,K33:K34)</f>
        <v>93.333333333333314</v>
      </c>
      <c r="N33" s="708">
        <v>300</v>
      </c>
      <c r="O33" s="700">
        <v>162.82385492232896</v>
      </c>
      <c r="P33" s="700">
        <v>127</v>
      </c>
      <c r="Q33" s="706">
        <v>65</v>
      </c>
      <c r="R33" s="195">
        <f>K33*2</f>
        <v>700</v>
      </c>
      <c r="T33" s="707">
        <f>FORECAST(U33,Q33:Q34,R33:R34)</f>
        <v>81.666666666666657</v>
      </c>
      <c r="U33" s="708">
        <v>600</v>
      </c>
      <c r="V33" s="700">
        <v>197.69609147064691</v>
      </c>
      <c r="W33" s="700">
        <v>118</v>
      </c>
      <c r="X33" s="706">
        <v>65</v>
      </c>
      <c r="Y33" s="195">
        <f>K33*4</f>
        <v>1400</v>
      </c>
      <c r="AA33" s="707">
        <f>FORECAST(AB33,X33:X34,Y33:Y34)</f>
        <v>81.666666666666657</v>
      </c>
      <c r="AB33" s="708">
        <v>1200</v>
      </c>
      <c r="AC33" s="700">
        <v>198.45230070452541</v>
      </c>
      <c r="AD33" s="700">
        <v>123</v>
      </c>
      <c r="AF33" s="710">
        <v>105</v>
      </c>
      <c r="AG33" s="710">
        <v>1080</v>
      </c>
      <c r="AH33" s="312">
        <v>0.9853073729119276</v>
      </c>
      <c r="AI33" s="196">
        <v>3000</v>
      </c>
      <c r="AU33" s="717"/>
      <c r="AV33" s="717"/>
      <c r="AX33" s="717"/>
      <c r="AY33" s="717"/>
      <c r="BD33" s="717"/>
      <c r="BE33" s="717"/>
      <c r="BG33" s="717"/>
      <c r="BH33" s="717"/>
    </row>
    <row r="34" spans="3:61">
      <c r="C34" s="195">
        <v>105</v>
      </c>
      <c r="D34" s="195">
        <v>230</v>
      </c>
      <c r="F34" s="705">
        <f>C34</f>
        <v>105</v>
      </c>
      <c r="G34" s="705">
        <f>D34</f>
        <v>230</v>
      </c>
      <c r="H34" s="700">
        <v>148.73791601641076</v>
      </c>
      <c r="I34" s="700">
        <v>132</v>
      </c>
      <c r="J34" s="195">
        <v>105</v>
      </c>
      <c r="K34" s="195">
        <v>230</v>
      </c>
      <c r="M34" s="705">
        <f>J34</f>
        <v>105</v>
      </c>
      <c r="N34" s="705">
        <f>K34</f>
        <v>230</v>
      </c>
      <c r="O34" s="700">
        <v>162.35871631560761</v>
      </c>
      <c r="P34" s="700">
        <v>130</v>
      </c>
      <c r="Q34" s="195">
        <v>105</v>
      </c>
      <c r="R34" s="195">
        <f>K34*2</f>
        <v>460</v>
      </c>
      <c r="T34" s="705">
        <f>Q34</f>
        <v>105</v>
      </c>
      <c r="U34" s="705">
        <f>R34</f>
        <v>460</v>
      </c>
      <c r="V34" s="700">
        <v>196.25767471358682</v>
      </c>
      <c r="W34" s="700">
        <v>132</v>
      </c>
      <c r="X34" s="195">
        <v>105</v>
      </c>
      <c r="Y34" s="195">
        <f>K34*4</f>
        <v>920</v>
      </c>
      <c r="AA34" s="705">
        <f>X34</f>
        <v>105</v>
      </c>
      <c r="AB34" s="705">
        <f>Y34</f>
        <v>920</v>
      </c>
      <c r="AC34" s="700">
        <v>196.81162270721626</v>
      </c>
      <c r="AD34" s="700">
        <v>135</v>
      </c>
      <c r="AF34" s="710">
        <v>105</v>
      </c>
      <c r="AG34" s="710">
        <v>1400</v>
      </c>
      <c r="AH34" s="312">
        <v>0.98390056485929345</v>
      </c>
      <c r="AI34" s="196">
        <v>3000</v>
      </c>
      <c r="AU34" s="700" t="s">
        <v>668</v>
      </c>
      <c r="BD34" s="700" t="s">
        <v>645</v>
      </c>
    </row>
    <row r="35" spans="3:61">
      <c r="C35" s="195">
        <v>105</v>
      </c>
      <c r="D35" s="195">
        <v>0</v>
      </c>
      <c r="F35" s="705">
        <f>C35</f>
        <v>105</v>
      </c>
      <c r="G35" s="705">
        <f>D35</f>
        <v>0</v>
      </c>
      <c r="J35" s="195">
        <v>105</v>
      </c>
      <c r="K35" s="195">
        <v>0</v>
      </c>
      <c r="M35" s="705">
        <f>J35</f>
        <v>105</v>
      </c>
      <c r="N35" s="705">
        <f>K35</f>
        <v>0</v>
      </c>
      <c r="Q35" s="195">
        <v>105</v>
      </c>
      <c r="R35" s="195">
        <f>K35*2</f>
        <v>0</v>
      </c>
      <c r="T35" s="705">
        <f>Q35</f>
        <v>105</v>
      </c>
      <c r="U35" s="705">
        <f>R35</f>
        <v>0</v>
      </c>
      <c r="X35" s="195">
        <v>105</v>
      </c>
      <c r="Y35" s="195">
        <f>K35*4</f>
        <v>0</v>
      </c>
      <c r="AA35" s="705">
        <f>X35</f>
        <v>105</v>
      </c>
      <c r="AB35" s="705">
        <f>Y35</f>
        <v>0</v>
      </c>
      <c r="AF35" s="710">
        <v>120</v>
      </c>
      <c r="AG35" s="710">
        <v>1200</v>
      </c>
      <c r="AH35" s="312">
        <v>0.97944992402658082</v>
      </c>
      <c r="AI35" s="711">
        <v>2000</v>
      </c>
      <c r="AU35" s="718" t="s">
        <v>646</v>
      </c>
      <c r="AV35" s="719">
        <v>4.4314852836985636</v>
      </c>
      <c r="BD35" s="718" t="s">
        <v>646</v>
      </c>
      <c r="BE35" s="719">
        <f>K109</f>
        <v>3.4790009999999993</v>
      </c>
    </row>
    <row r="36" spans="3:61">
      <c r="AU36" s="700" t="s">
        <v>266</v>
      </c>
      <c r="BD36" s="700" t="s">
        <v>266</v>
      </c>
    </row>
    <row r="37" spans="3:61">
      <c r="AU37" s="196" t="s">
        <v>268</v>
      </c>
      <c r="AV37" s="196" t="s">
        <v>267</v>
      </c>
      <c r="BD37" s="196" t="s">
        <v>268</v>
      </c>
      <c r="BE37" s="196" t="s">
        <v>267</v>
      </c>
    </row>
    <row r="38" spans="3:61">
      <c r="AU38" s="720">
        <v>98.208398985538366</v>
      </c>
      <c r="AV38" s="717">
        <v>300</v>
      </c>
      <c r="BD38" s="720">
        <v>100.197645381524</v>
      </c>
      <c r="BE38" s="717">
        <v>900</v>
      </c>
    </row>
    <row r="39" spans="3:61">
      <c r="AU39" s="720">
        <v>109.19847065397354</v>
      </c>
      <c r="AV39" s="717">
        <v>230</v>
      </c>
      <c r="BD39" s="720">
        <v>110.65554489542247</v>
      </c>
      <c r="BE39" s="717">
        <v>690</v>
      </c>
    </row>
    <row r="40" spans="3:61">
      <c r="AU40" s="720">
        <v>125.08521144779506</v>
      </c>
      <c r="AV40" s="717">
        <v>120</v>
      </c>
      <c r="BD40" s="720">
        <v>125.78533470379008</v>
      </c>
      <c r="BE40" s="717">
        <v>360</v>
      </c>
    </row>
    <row r="41" spans="3:61">
      <c r="AU41" s="722"/>
      <c r="AV41" s="722"/>
      <c r="AW41" s="723"/>
      <c r="AX41" s="723"/>
      <c r="AY41" s="723"/>
      <c r="AZ41" s="723"/>
      <c r="BD41" s="722"/>
      <c r="BE41" s="722"/>
      <c r="BF41" s="723"/>
      <c r="BG41" s="723"/>
      <c r="BH41" s="723"/>
      <c r="BI41" s="723"/>
    </row>
    <row r="43" spans="3:61">
      <c r="AU43" s="718" t="s">
        <v>646</v>
      </c>
      <c r="AV43" s="719"/>
      <c r="BD43" s="718" t="s">
        <v>646</v>
      </c>
      <c r="BE43" s="719">
        <v>4.0650000000000004</v>
      </c>
      <c r="BF43" s="745"/>
    </row>
    <row r="44" spans="3:61">
      <c r="AU44" s="700" t="s">
        <v>266</v>
      </c>
      <c r="BD44" s="700" t="s">
        <v>266</v>
      </c>
    </row>
    <row r="45" spans="3:61">
      <c r="AU45" s="196" t="s">
        <v>268</v>
      </c>
      <c r="AV45" s="196" t="s">
        <v>267</v>
      </c>
      <c r="BD45" s="196" t="s">
        <v>268</v>
      </c>
      <c r="BE45" s="196" t="s">
        <v>267</v>
      </c>
    </row>
    <row r="46" spans="3:61">
      <c r="AU46" s="724"/>
      <c r="AV46" s="717">
        <v>300</v>
      </c>
      <c r="BD46" s="724">
        <v>93.334672863930592</v>
      </c>
      <c r="BE46" s="717">
        <v>900</v>
      </c>
    </row>
    <row r="47" spans="3:61">
      <c r="AU47" s="720"/>
      <c r="AV47" s="717">
        <v>230</v>
      </c>
      <c r="BD47" s="720">
        <v>104.95258119559524</v>
      </c>
      <c r="BE47" s="717">
        <v>690</v>
      </c>
    </row>
    <row r="48" spans="3:61">
      <c r="AU48" s="720"/>
      <c r="AV48" s="717">
        <v>120</v>
      </c>
      <c r="BD48" s="720">
        <v>123.04661622808972</v>
      </c>
      <c r="BE48" s="717">
        <v>360</v>
      </c>
    </row>
    <row r="52" spans="2:39">
      <c r="B52" s="700" t="s">
        <v>264</v>
      </c>
      <c r="AJ52" s="710"/>
      <c r="AL52" s="710"/>
      <c r="AM52" s="710"/>
    </row>
    <row r="53" spans="2:39">
      <c r="F53" s="700" t="s">
        <v>74</v>
      </c>
      <c r="G53" s="700">
        <f>SLOPE(G58:G59,F58:F59)</f>
        <v>-5.9999999999999911</v>
      </c>
      <c r="M53" s="700" t="s">
        <v>74</v>
      </c>
      <c r="N53" s="700">
        <f>SLOPE(N58:N59,M58:M59)</f>
        <v>-5.9999999999999911</v>
      </c>
      <c r="T53" s="700" t="s">
        <v>74</v>
      </c>
      <c r="U53" s="700">
        <f>SLOPE(U58:U59,T58:T59)</f>
        <v>-5.9999999999999973</v>
      </c>
      <c r="AA53" s="700" t="s">
        <v>74</v>
      </c>
      <c r="AB53" s="700">
        <f>SLOPE(AB58:AB59,AA58:AA59)</f>
        <v>-11.999999999999995</v>
      </c>
      <c r="AJ53" s="710"/>
      <c r="AL53" s="710"/>
      <c r="AM53" s="710"/>
    </row>
    <row r="54" spans="2:39">
      <c r="F54" s="700" t="s">
        <v>75</v>
      </c>
      <c r="G54" s="700">
        <f>INTERCEPT(G58:G59,F58:F59)</f>
        <v>859.99999999999909</v>
      </c>
      <c r="M54" s="700" t="s">
        <v>75</v>
      </c>
      <c r="N54" s="700">
        <f>INTERCEPT(N58:N59,M58:M59)</f>
        <v>859.99999999999909</v>
      </c>
      <c r="T54" s="700" t="s">
        <v>75</v>
      </c>
      <c r="U54" s="700">
        <f>INTERCEPT(U58:U59,T58:T59)</f>
        <v>1089.9999999999998</v>
      </c>
      <c r="AA54" s="700" t="s">
        <v>75</v>
      </c>
      <c r="AB54" s="700">
        <f>INTERCEPT(AB58:AB59,AA58:AA59)</f>
        <v>2179.9999999999995</v>
      </c>
      <c r="AJ54" s="710"/>
    </row>
    <row r="55" spans="2:39">
      <c r="C55" s="704" t="s">
        <v>636</v>
      </c>
      <c r="J55" s="700" t="s">
        <v>637</v>
      </c>
      <c r="Q55" s="700" t="s">
        <v>638</v>
      </c>
      <c r="X55" s="700" t="s">
        <v>639</v>
      </c>
      <c r="AJ55" s="710"/>
    </row>
    <row r="56" spans="2:39">
      <c r="C56" s="195" t="s">
        <v>640</v>
      </c>
      <c r="D56" s="195" t="s">
        <v>641</v>
      </c>
      <c r="F56" s="712" t="s">
        <v>642</v>
      </c>
      <c r="G56" s="712" t="s">
        <v>643</v>
      </c>
      <c r="J56" s="195" t="s">
        <v>640</v>
      </c>
      <c r="K56" s="195" t="s">
        <v>641</v>
      </c>
      <c r="M56" s="712" t="s">
        <v>642</v>
      </c>
      <c r="N56" s="712" t="s">
        <v>643</v>
      </c>
      <c r="Q56" s="195" t="s">
        <v>640</v>
      </c>
      <c r="R56" s="195" t="s">
        <v>641</v>
      </c>
      <c r="T56" s="712" t="s">
        <v>642</v>
      </c>
      <c r="U56" s="712" t="s">
        <v>643</v>
      </c>
      <c r="X56" s="195" t="s">
        <v>640</v>
      </c>
      <c r="Y56" s="195" t="s">
        <v>641</v>
      </c>
      <c r="AA56" s="712" t="s">
        <v>642</v>
      </c>
      <c r="AB56" s="712" t="s">
        <v>643</v>
      </c>
      <c r="AJ56" s="710"/>
    </row>
    <row r="57" spans="2:39">
      <c r="C57" s="195">
        <v>0</v>
      </c>
      <c r="D57" s="195">
        <v>350</v>
      </c>
      <c r="F57" s="712">
        <f>C57</f>
        <v>0</v>
      </c>
      <c r="G57" s="713">
        <v>300</v>
      </c>
      <c r="J57" s="195">
        <v>0</v>
      </c>
      <c r="K57" s="195">
        <v>350</v>
      </c>
      <c r="M57" s="712">
        <f>J57</f>
        <v>0</v>
      </c>
      <c r="N57" s="713">
        <v>300</v>
      </c>
      <c r="Q57" s="195">
        <v>0</v>
      </c>
      <c r="R57" s="195">
        <f>K57*2</f>
        <v>700</v>
      </c>
      <c r="T57" s="712">
        <f>Q57</f>
        <v>0</v>
      </c>
      <c r="U57" s="713">
        <f>U58</f>
        <v>600</v>
      </c>
      <c r="X57" s="195">
        <v>0</v>
      </c>
      <c r="Y57" s="195">
        <f>K57*4</f>
        <v>1400</v>
      </c>
      <c r="AA57" s="712">
        <f>X57</f>
        <v>0</v>
      </c>
      <c r="AB57" s="713">
        <f>AB58</f>
        <v>1200</v>
      </c>
    </row>
    <row r="58" spans="2:39">
      <c r="C58" s="706">
        <v>85</v>
      </c>
      <c r="D58" s="195">
        <v>350</v>
      </c>
      <c r="F58" s="714">
        <f>FORECAST(G58,C58:C59,D58:D59)</f>
        <v>93.333333333333314</v>
      </c>
      <c r="G58" s="713">
        <v>300</v>
      </c>
      <c r="J58" s="706">
        <v>85</v>
      </c>
      <c r="K58" s="195">
        <v>350</v>
      </c>
      <c r="M58" s="714">
        <f>FORECAST(N58,J58:J59,K58:K59)</f>
        <v>93.333333333333314</v>
      </c>
      <c r="N58" s="713">
        <v>300</v>
      </c>
      <c r="Q58" s="706">
        <v>65</v>
      </c>
      <c r="R58" s="195">
        <f>K58*2</f>
        <v>700</v>
      </c>
      <c r="T58" s="714">
        <f>FORECAST(U58,Q58:Q59,R58:R59)</f>
        <v>81.666666666666657</v>
      </c>
      <c r="U58" s="713">
        <v>600</v>
      </c>
      <c r="X58" s="706">
        <v>65</v>
      </c>
      <c r="Y58" s="195">
        <f>K58*4</f>
        <v>1400</v>
      </c>
      <c r="AA58" s="714">
        <f>FORECAST(AB58,X58:X59,Y58:Y59)</f>
        <v>81.666666666666657</v>
      </c>
      <c r="AB58" s="713">
        <v>1200</v>
      </c>
    </row>
    <row r="59" spans="2:39">
      <c r="C59" s="195">
        <v>105</v>
      </c>
      <c r="D59" s="195">
        <v>230</v>
      </c>
      <c r="F59" s="712">
        <f>C59</f>
        <v>105</v>
      </c>
      <c r="G59" s="712">
        <f>D59</f>
        <v>230</v>
      </c>
      <c r="J59" s="195">
        <v>105</v>
      </c>
      <c r="K59" s="195">
        <v>230</v>
      </c>
      <c r="M59" s="712">
        <f>J59</f>
        <v>105</v>
      </c>
      <c r="N59" s="712">
        <f>K59</f>
        <v>230</v>
      </c>
      <c r="Q59" s="195">
        <v>105</v>
      </c>
      <c r="R59" s="195">
        <f>K59*2</f>
        <v>460</v>
      </c>
      <c r="T59" s="712">
        <f>Q59</f>
        <v>105</v>
      </c>
      <c r="U59" s="712">
        <f>R59</f>
        <v>460</v>
      </c>
      <c r="X59" s="195">
        <v>105</v>
      </c>
      <c r="Y59" s="195">
        <f>K59*4</f>
        <v>920</v>
      </c>
      <c r="AA59" s="712">
        <f>X59</f>
        <v>105</v>
      </c>
      <c r="AB59" s="712">
        <f>Y59</f>
        <v>920</v>
      </c>
    </row>
    <row r="60" spans="2:39">
      <c r="C60" s="195">
        <v>105</v>
      </c>
      <c r="D60" s="195">
        <v>0</v>
      </c>
      <c r="F60" s="712">
        <f>C60</f>
        <v>105</v>
      </c>
      <c r="G60" s="712">
        <f>D60</f>
        <v>0</v>
      </c>
      <c r="J60" s="195">
        <v>105</v>
      </c>
      <c r="K60" s="195">
        <v>0</v>
      </c>
      <c r="M60" s="712">
        <f>J60</f>
        <v>105</v>
      </c>
      <c r="N60" s="712">
        <f>K60</f>
        <v>0</v>
      </c>
      <c r="Q60" s="195">
        <v>105</v>
      </c>
      <c r="R60" s="195">
        <f>K60*2</f>
        <v>0</v>
      </c>
      <c r="T60" s="712">
        <f>Q60</f>
        <v>105</v>
      </c>
      <c r="U60" s="712">
        <f>R60</f>
        <v>0</v>
      </c>
      <c r="X60" s="195">
        <v>105</v>
      </c>
      <c r="Y60" s="195">
        <f>K60*4</f>
        <v>0</v>
      </c>
      <c r="AA60" s="712">
        <f>X60</f>
        <v>105</v>
      </c>
      <c r="AB60" s="712">
        <f>Y60</f>
        <v>0</v>
      </c>
    </row>
    <row r="77" spans="2:25">
      <c r="B77" s="700" t="s">
        <v>111</v>
      </c>
    </row>
    <row r="79" spans="2:25">
      <c r="C79" s="704" t="s">
        <v>149</v>
      </c>
      <c r="J79" s="700" t="s">
        <v>112</v>
      </c>
      <c r="Q79" s="700" t="s">
        <v>107</v>
      </c>
      <c r="X79" s="700" t="s">
        <v>108</v>
      </c>
    </row>
    <row r="80" spans="2:25">
      <c r="C80" s="715" t="s">
        <v>113</v>
      </c>
      <c r="D80" s="715" t="s">
        <v>114</v>
      </c>
      <c r="J80" s="715" t="s">
        <v>113</v>
      </c>
      <c r="K80" s="715" t="s">
        <v>114</v>
      </c>
      <c r="Q80" s="715" t="s">
        <v>113</v>
      </c>
      <c r="R80" s="715" t="s">
        <v>114</v>
      </c>
      <c r="X80" s="715" t="s">
        <v>113</v>
      </c>
      <c r="Y80" s="715" t="s">
        <v>114</v>
      </c>
    </row>
    <row r="81" spans="3:28">
      <c r="C81" s="715">
        <v>0</v>
      </c>
      <c r="D81" s="715">
        <v>350</v>
      </c>
      <c r="J81" s="715">
        <v>0</v>
      </c>
      <c r="K81" s="715">
        <v>350</v>
      </c>
      <c r="Q81" s="715">
        <v>0</v>
      </c>
      <c r="R81" s="715">
        <f>K81*2</f>
        <v>700</v>
      </c>
      <c r="X81" s="715">
        <v>0</v>
      </c>
      <c r="Y81" s="715">
        <f>K81*4</f>
        <v>1400</v>
      </c>
    </row>
    <row r="82" spans="3:28">
      <c r="C82" s="716">
        <v>85</v>
      </c>
      <c r="D82" s="715">
        <v>350</v>
      </c>
      <c r="F82" s="700" t="s">
        <v>74</v>
      </c>
      <c r="G82" s="700">
        <f>SLOPE(D82:D83,C82:C83)</f>
        <v>-6</v>
      </c>
      <c r="J82" s="716">
        <v>85</v>
      </c>
      <c r="K82" s="715">
        <v>350</v>
      </c>
      <c r="M82" s="700" t="s">
        <v>74</v>
      </c>
      <c r="N82" s="700">
        <f>SLOPE(K82:K83,J82:J83)</f>
        <v>-6</v>
      </c>
      <c r="Q82" s="716">
        <v>65</v>
      </c>
      <c r="R82" s="715">
        <f>K82*2</f>
        <v>700</v>
      </c>
      <c r="T82" s="700" t="s">
        <v>74</v>
      </c>
      <c r="U82" s="700">
        <f>SLOPE(R82:R83,Q82:Q83)</f>
        <v>-6</v>
      </c>
      <c r="X82" s="716">
        <v>65</v>
      </c>
      <c r="Y82" s="715">
        <f>K82*4</f>
        <v>1400</v>
      </c>
      <c r="AA82" s="700" t="s">
        <v>74</v>
      </c>
      <c r="AB82" s="700">
        <f>SLOPE(Y82:Y83,X82:X83)</f>
        <v>-12</v>
      </c>
    </row>
    <row r="83" spans="3:28">
      <c r="C83" s="715">
        <v>105</v>
      </c>
      <c r="D83" s="715">
        <v>230</v>
      </c>
      <c r="F83" s="700" t="s">
        <v>75</v>
      </c>
      <c r="G83" s="700">
        <f>INTERCEPT(D82:D83,C82:C83)</f>
        <v>860</v>
      </c>
      <c r="J83" s="715">
        <v>105</v>
      </c>
      <c r="K83" s="715">
        <v>230</v>
      </c>
      <c r="M83" s="700" t="s">
        <v>75</v>
      </c>
      <c r="N83" s="700">
        <f>INTERCEPT(K82:K83,J82:J83)</f>
        <v>860</v>
      </c>
      <c r="Q83" s="715">
        <v>105</v>
      </c>
      <c r="R83" s="715">
        <f>K83*2</f>
        <v>460</v>
      </c>
      <c r="T83" s="700" t="s">
        <v>75</v>
      </c>
      <c r="U83" s="700">
        <f>INTERCEPT(R82:R83,Q82:Q83)</f>
        <v>1090</v>
      </c>
      <c r="X83" s="715">
        <v>105</v>
      </c>
      <c r="Y83" s="715">
        <f>K83*4</f>
        <v>920</v>
      </c>
      <c r="AA83" s="700" t="s">
        <v>75</v>
      </c>
      <c r="AB83" s="700">
        <f>INTERCEPT(Y82:Y83,X82:X83)</f>
        <v>2180</v>
      </c>
    </row>
    <row r="84" spans="3:28">
      <c r="C84" s="715">
        <v>105</v>
      </c>
      <c r="D84" s="715">
        <v>0</v>
      </c>
      <c r="J84" s="715">
        <v>105</v>
      </c>
      <c r="K84" s="715">
        <v>0</v>
      </c>
      <c r="Q84" s="715">
        <v>105</v>
      </c>
      <c r="R84" s="715">
        <f>K84*2</f>
        <v>0</v>
      </c>
      <c r="X84" s="715">
        <v>105</v>
      </c>
      <c r="Y84" s="715">
        <f>K84*4</f>
        <v>0</v>
      </c>
    </row>
    <row r="101" spans="3:28">
      <c r="C101" s="700" t="s">
        <v>644</v>
      </c>
    </row>
    <row r="102" spans="3:28">
      <c r="C102" s="700" t="s">
        <v>266</v>
      </c>
      <c r="F102" s="700" t="s">
        <v>269</v>
      </c>
      <c r="J102" s="700" t="s">
        <v>266</v>
      </c>
      <c r="M102" s="700" t="s">
        <v>269</v>
      </c>
      <c r="Q102" s="700" t="s">
        <v>266</v>
      </c>
      <c r="T102" s="700" t="s">
        <v>269</v>
      </c>
      <c r="X102" s="700" t="s">
        <v>266</v>
      </c>
      <c r="AA102" s="700" t="s">
        <v>269</v>
      </c>
    </row>
    <row r="103" spans="3:28">
      <c r="C103" s="196" t="s">
        <v>268</v>
      </c>
      <c r="D103" s="196" t="s">
        <v>267</v>
      </c>
      <c r="F103" s="196" t="s">
        <v>268</v>
      </c>
      <c r="G103" s="196" t="s">
        <v>267</v>
      </c>
      <c r="J103" s="196" t="s">
        <v>268</v>
      </c>
      <c r="K103" s="196" t="s">
        <v>267</v>
      </c>
      <c r="M103" s="196" t="s">
        <v>268</v>
      </c>
      <c r="N103" s="196" t="s">
        <v>267</v>
      </c>
      <c r="Q103" s="196" t="s">
        <v>268</v>
      </c>
      <c r="R103" s="196" t="s">
        <v>267</v>
      </c>
      <c r="T103" s="196" t="s">
        <v>268</v>
      </c>
      <c r="U103" s="196" t="s">
        <v>267</v>
      </c>
      <c r="X103" s="196" t="s">
        <v>268</v>
      </c>
      <c r="Y103" s="196" t="s">
        <v>267</v>
      </c>
      <c r="AA103" s="196" t="s">
        <v>268</v>
      </c>
      <c r="AB103" s="196" t="s">
        <v>267</v>
      </c>
    </row>
    <row r="104" spans="3:28">
      <c r="C104" s="717">
        <v>104.05408546064179</v>
      </c>
      <c r="D104" s="717">
        <v>300</v>
      </c>
      <c r="F104" s="717">
        <v>90</v>
      </c>
      <c r="G104" s="717">
        <v>1021.5031914026682</v>
      </c>
      <c r="J104" s="717">
        <v>106.42575342399756</v>
      </c>
      <c r="K104" s="717">
        <v>300</v>
      </c>
      <c r="M104" s="717">
        <v>85</v>
      </c>
      <c r="N104" s="717">
        <v>578.64967167371776</v>
      </c>
      <c r="Q104" s="717">
        <v>104.17682692446191</v>
      </c>
      <c r="R104" s="717">
        <v>600</v>
      </c>
      <c r="T104" s="717">
        <v>85</v>
      </c>
      <c r="U104" s="717">
        <v>621.71309617099109</v>
      </c>
      <c r="X104" s="717">
        <v>99.22287411602349</v>
      </c>
      <c r="Y104" s="717">
        <v>1200</v>
      </c>
      <c r="AA104" s="717">
        <v>85</v>
      </c>
      <c r="AB104" s="717">
        <v>1234.8300416854238</v>
      </c>
    </row>
    <row r="105" spans="3:28">
      <c r="C105" s="717">
        <v>113.28248742741461</v>
      </c>
      <c r="D105" s="717">
        <v>230</v>
      </c>
      <c r="F105" s="717">
        <v>105</v>
      </c>
      <c r="G105" s="717">
        <v>802.34774484946365</v>
      </c>
      <c r="J105" s="717">
        <v>115.22610840755731</v>
      </c>
      <c r="K105" s="717">
        <v>230</v>
      </c>
      <c r="M105" s="717">
        <v>105</v>
      </c>
      <c r="N105" s="717">
        <v>471.78363999649184</v>
      </c>
      <c r="Q105" s="717">
        <v>113.5746980846008</v>
      </c>
      <c r="R105" s="717">
        <v>460</v>
      </c>
      <c r="T105" s="717">
        <v>105</v>
      </c>
      <c r="U105" s="717">
        <v>511.8932506967987</v>
      </c>
      <c r="X105" s="717">
        <v>109.94127235783611</v>
      </c>
      <c r="Y105" s="717">
        <v>920</v>
      </c>
      <c r="AA105" s="717">
        <v>105</v>
      </c>
      <c r="AB105" s="717">
        <v>1016.6908790589868</v>
      </c>
    </row>
    <row r="106" spans="3:28">
      <c r="C106" s="717">
        <v>127.14860772651872</v>
      </c>
      <c r="D106" s="717">
        <v>120</v>
      </c>
      <c r="F106" s="717">
        <v>120</v>
      </c>
      <c r="G106" s="717">
        <v>641.65012095108443</v>
      </c>
      <c r="J106" s="717">
        <v>127.98688747594973</v>
      </c>
      <c r="K106" s="717">
        <v>120</v>
      </c>
      <c r="M106" s="717">
        <v>120</v>
      </c>
      <c r="N106" s="717">
        <v>390.86335008821027</v>
      </c>
      <c r="Q106" s="717">
        <v>127.19124803521957</v>
      </c>
      <c r="R106" s="717">
        <v>240</v>
      </c>
      <c r="T106" s="717">
        <v>120</v>
      </c>
      <c r="U106" s="717">
        <v>424.98316017085222</v>
      </c>
      <c r="X106" s="717">
        <v>125.44229292826823</v>
      </c>
      <c r="Y106" s="717">
        <v>480</v>
      </c>
      <c r="AA106" s="717">
        <v>120</v>
      </c>
      <c r="AB106" s="717">
        <v>844.03470746253583</v>
      </c>
    </row>
    <row r="107" spans="3:28">
      <c r="C107" s="717"/>
      <c r="D107" s="717"/>
      <c r="F107" s="717"/>
      <c r="G107" s="717"/>
      <c r="J107" s="717"/>
      <c r="K107" s="717"/>
      <c r="M107" s="717"/>
      <c r="N107" s="717"/>
      <c r="Q107" s="717"/>
      <c r="R107" s="717"/>
      <c r="T107" s="717"/>
      <c r="U107" s="717"/>
      <c r="X107" s="717"/>
      <c r="Y107" s="717"/>
      <c r="AA107" s="717"/>
      <c r="AB107" s="717"/>
    </row>
    <row r="108" spans="3:28">
      <c r="C108" s="700" t="s">
        <v>645</v>
      </c>
    </row>
    <row r="109" spans="3:28">
      <c r="C109" s="718" t="s">
        <v>646</v>
      </c>
      <c r="D109" s="719">
        <v>6.6150600961995236</v>
      </c>
      <c r="J109" s="718" t="s">
        <v>646</v>
      </c>
      <c r="K109" s="719">
        <v>3.4790009999999993</v>
      </c>
      <c r="Q109" s="718" t="s">
        <v>646</v>
      </c>
      <c r="R109" s="719">
        <v>2.1072333847980995</v>
      </c>
      <c r="X109" s="718" t="s">
        <v>646</v>
      </c>
      <c r="Y109" s="719">
        <v>1.0067892838479808</v>
      </c>
    </row>
    <row r="110" spans="3:28">
      <c r="C110" s="700" t="s">
        <v>266</v>
      </c>
      <c r="J110" s="700" t="s">
        <v>266</v>
      </c>
      <c r="Q110" s="700" t="s">
        <v>266</v>
      </c>
      <c r="X110" s="700" t="s">
        <v>266</v>
      </c>
    </row>
    <row r="111" spans="3:28">
      <c r="C111" s="196" t="s">
        <v>268</v>
      </c>
      <c r="D111" s="196" t="s">
        <v>267</v>
      </c>
      <c r="J111" s="196" t="s">
        <v>268</v>
      </c>
      <c r="K111" s="196" t="s">
        <v>267</v>
      </c>
      <c r="Q111" s="196" t="s">
        <v>268</v>
      </c>
      <c r="R111" s="196" t="s">
        <v>267</v>
      </c>
      <c r="X111" s="196" t="s">
        <v>268</v>
      </c>
      <c r="Y111" s="196" t="s">
        <v>267</v>
      </c>
    </row>
    <row r="112" spans="3:28">
      <c r="C112" s="720">
        <v>95.813443671300391</v>
      </c>
      <c r="D112" s="717">
        <v>300</v>
      </c>
      <c r="J112" s="720">
        <v>100.97143057024113</v>
      </c>
      <c r="K112" s="717">
        <v>300</v>
      </c>
      <c r="Q112" s="720">
        <v>92.569886862784287</v>
      </c>
      <c r="R112" s="717">
        <v>600</v>
      </c>
      <c r="X112" s="720">
        <v>94.793788965725568</v>
      </c>
      <c r="Y112" s="717">
        <v>1200</v>
      </c>
    </row>
    <row r="113" spans="3:27">
      <c r="C113" s="720">
        <v>107.19975166098983</v>
      </c>
      <c r="D113" s="717">
        <v>230</v>
      </c>
      <c r="J113" s="720">
        <v>111.22303959998905</v>
      </c>
      <c r="K113" s="717">
        <v>230</v>
      </c>
      <c r="Q113" s="720">
        <v>108.50710669990889</v>
      </c>
      <c r="R113" s="721">
        <v>420</v>
      </c>
      <c r="X113" s="720">
        <v>108.34218959853077</v>
      </c>
      <c r="Y113" s="721">
        <v>880</v>
      </c>
    </row>
    <row r="114" spans="3:27">
      <c r="C114" s="720">
        <v>124.24360306566312</v>
      </c>
      <c r="D114" s="717">
        <v>120</v>
      </c>
      <c r="J114" s="720">
        <v>126.05956229880741</v>
      </c>
      <c r="K114" s="717">
        <v>120</v>
      </c>
      <c r="Q114" s="720">
        <v>123.10515684259036</v>
      </c>
      <c r="R114" s="717">
        <v>240</v>
      </c>
      <c r="X114" s="720">
        <v>123.88440170056086</v>
      </c>
      <c r="Y114" s="717">
        <v>480</v>
      </c>
    </row>
    <row r="115" spans="3:27" s="723" customFormat="1">
      <c r="C115" s="722"/>
      <c r="D115" s="722"/>
      <c r="J115" s="722"/>
      <c r="K115" s="722"/>
      <c r="Q115" s="722"/>
      <c r="R115" s="722"/>
      <c r="X115" s="722"/>
      <c r="Y115" s="722"/>
    </row>
    <row r="116" spans="3:27">
      <c r="C116" s="700" t="s">
        <v>647</v>
      </c>
    </row>
    <row r="117" spans="3:27">
      <c r="C117" s="718" t="s">
        <v>646</v>
      </c>
      <c r="D117" s="719">
        <v>6.9779999999999998</v>
      </c>
      <c r="J117" s="718" t="s">
        <v>646</v>
      </c>
      <c r="K117" s="719">
        <v>4.1449999999999996</v>
      </c>
      <c r="Q117" s="718" t="s">
        <v>646</v>
      </c>
      <c r="R117" s="719">
        <v>2.3382999999999998</v>
      </c>
      <c r="X117" s="718" t="s">
        <v>646</v>
      </c>
      <c r="Y117" s="719">
        <v>1.0801799999999999</v>
      </c>
      <c r="Z117" s="700">
        <v>1.11145</v>
      </c>
    </row>
    <row r="118" spans="3:27">
      <c r="C118" s="700" t="s">
        <v>266</v>
      </c>
      <c r="J118" s="700" t="s">
        <v>266</v>
      </c>
      <c r="Q118" s="700" t="s">
        <v>266</v>
      </c>
      <c r="X118" s="700" t="s">
        <v>266</v>
      </c>
    </row>
    <row r="119" spans="3:27">
      <c r="C119" s="196" t="s">
        <v>268</v>
      </c>
      <c r="D119" s="196" t="s">
        <v>267</v>
      </c>
      <c r="J119" s="196" t="s">
        <v>268</v>
      </c>
      <c r="K119" s="196" t="s">
        <v>267</v>
      </c>
      <c r="Q119" s="196" t="s">
        <v>268</v>
      </c>
      <c r="R119" s="196" t="s">
        <v>267</v>
      </c>
      <c r="X119" s="196" t="s">
        <v>268</v>
      </c>
      <c r="Y119" s="196" t="s">
        <v>267</v>
      </c>
    </row>
    <row r="120" spans="3:27">
      <c r="C120" s="724">
        <v>93.337463828444385</v>
      </c>
      <c r="D120" s="717">
        <v>300</v>
      </c>
      <c r="J120" s="724">
        <v>93.336694083981143</v>
      </c>
      <c r="K120" s="717">
        <v>300</v>
      </c>
      <c r="Q120" s="720">
        <v>87.233394205651265</v>
      </c>
      <c r="R120" s="717">
        <v>600</v>
      </c>
      <c r="X120" s="720">
        <v>89.980627184385469</v>
      </c>
      <c r="Y120" s="717">
        <v>1200</v>
      </c>
    </row>
    <row r="121" spans="3:27">
      <c r="C121" s="720">
        <v>105.37509824112671</v>
      </c>
      <c r="D121" s="717">
        <v>230</v>
      </c>
      <c r="J121" s="720">
        <v>105.6322643939794</v>
      </c>
      <c r="K121" s="717">
        <v>230</v>
      </c>
      <c r="Q121" s="724">
        <v>105.00086301825057</v>
      </c>
      <c r="R121" s="721">
        <v>420</v>
      </c>
      <c r="X121" s="724">
        <v>106.00021641740477</v>
      </c>
      <c r="Y121" s="721">
        <v>880</v>
      </c>
      <c r="Z121" s="700">
        <v>105.00073785935567</v>
      </c>
      <c r="AA121" s="700">
        <v>880</v>
      </c>
    </row>
    <row r="122" spans="3:27">
      <c r="C122" s="720">
        <v>123.37502220251677</v>
      </c>
      <c r="D122" s="717">
        <v>120</v>
      </c>
      <c r="J122" s="720">
        <v>123.37305805230893</v>
      </c>
      <c r="K122" s="717">
        <v>120</v>
      </c>
      <c r="Q122" s="720">
        <v>121.23799123365771</v>
      </c>
      <c r="R122" s="717">
        <v>240</v>
      </c>
      <c r="X122" s="720">
        <v>122.19759012741508</v>
      </c>
      <c r="Y122" s="717">
        <v>480</v>
      </c>
    </row>
  </sheetData>
  <sheetProtection password="A7EA" sheet="1" objects="1" scenarios="1"/>
  <phoneticPr fontId="7"/>
  <pageMargins left="0.7" right="0.7" top="0.75" bottom="0.75" header="0.3" footer="0.3"/>
  <drawing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2:AI61"/>
  <sheetViews>
    <sheetView zoomScale="60" zoomScaleNormal="60" workbookViewId="0">
      <selection activeCell="S35" sqref="S35"/>
    </sheetView>
  </sheetViews>
  <sheetFormatPr defaultRowHeight="18.75"/>
  <cols>
    <col min="1" max="1" width="5.5" style="211" customWidth="1"/>
    <col min="2" max="10" width="9" style="211"/>
    <col min="11" max="11" width="11.75" style="211" bestFit="1" customWidth="1"/>
    <col min="12" max="12" width="9.875" style="211" customWidth="1"/>
    <col min="13" max="14" width="9" style="211"/>
    <col min="15" max="15" width="9.125" style="211" bestFit="1" customWidth="1"/>
    <col min="16" max="16" width="10.25" style="211" bestFit="1" customWidth="1"/>
    <col min="17" max="17" width="9" style="211"/>
    <col min="18" max="19" width="9.125" style="211" bestFit="1" customWidth="1"/>
    <col min="20" max="21" width="9" style="211"/>
    <col min="22" max="22" width="11.75" style="211" bestFit="1" customWidth="1"/>
    <col min="23" max="16384" width="9" style="211"/>
  </cols>
  <sheetData>
    <row r="2" spans="2:25">
      <c r="P2" s="297"/>
      <c r="Y2" s="298"/>
    </row>
    <row r="3" spans="2:25">
      <c r="B3" s="211" t="s">
        <v>179</v>
      </c>
      <c r="M3" s="211" t="s">
        <v>180</v>
      </c>
    </row>
    <row r="4" spans="2:25">
      <c r="B4" s="212" t="s">
        <v>181</v>
      </c>
      <c r="C4" s="212" t="s">
        <v>182</v>
      </c>
      <c r="D4" s="212" t="s">
        <v>183</v>
      </c>
      <c r="E4" s="212" t="s">
        <v>184</v>
      </c>
      <c r="F4" s="212" t="s">
        <v>185</v>
      </c>
      <c r="G4" s="212" t="s">
        <v>181</v>
      </c>
      <c r="H4" s="212" t="s">
        <v>186</v>
      </c>
      <c r="I4" s="237" t="s">
        <v>187</v>
      </c>
      <c r="J4" s="238" t="s">
        <v>188</v>
      </c>
      <c r="K4" s="238" t="s">
        <v>189</v>
      </c>
      <c r="L4" s="239"/>
      <c r="M4" s="212" t="s">
        <v>190</v>
      </c>
      <c r="N4" s="212" t="s">
        <v>191</v>
      </c>
      <c r="O4" s="212" t="s">
        <v>192</v>
      </c>
      <c r="P4" s="212" t="s">
        <v>193</v>
      </c>
      <c r="Q4" s="212" t="s">
        <v>194</v>
      </c>
      <c r="R4" s="212" t="s">
        <v>190</v>
      </c>
      <c r="S4" s="212" t="s">
        <v>195</v>
      </c>
      <c r="T4" s="237" t="s">
        <v>187</v>
      </c>
      <c r="U4" s="238" t="s">
        <v>188</v>
      </c>
      <c r="V4" s="238" t="s">
        <v>189</v>
      </c>
    </row>
    <row r="5" spans="2:25">
      <c r="B5" s="904">
        <v>80</v>
      </c>
      <c r="C5" s="212" t="s">
        <v>196</v>
      </c>
      <c r="D5" s="240">
        <f>$D$9</f>
        <v>21.28</v>
      </c>
      <c r="E5" s="240">
        <f>$E$9*AD35</f>
        <v>479.4397580114113</v>
      </c>
      <c r="F5" s="240"/>
      <c r="G5" s="240"/>
      <c r="H5" s="240"/>
      <c r="I5" s="241"/>
      <c r="J5" s="242">
        <f t="shared" ref="J5:J8" si="0">E5/$E$9</f>
        <v>1.2318596043458667</v>
      </c>
      <c r="K5" s="242"/>
      <c r="M5" s="904">
        <v>80</v>
      </c>
      <c r="N5" s="212" t="s">
        <v>197</v>
      </c>
      <c r="O5" s="240">
        <v>35.487000000000002</v>
      </c>
      <c r="P5" s="240">
        <v>1658.87</v>
      </c>
      <c r="Q5" s="240">
        <v>1638</v>
      </c>
      <c r="R5" s="240">
        <v>84.48</v>
      </c>
      <c r="S5" s="240">
        <v>14.31</v>
      </c>
      <c r="T5" s="241">
        <v>32</v>
      </c>
      <c r="U5" s="242">
        <f t="shared" ref="U5:U8" si="1">P5/$P$9</f>
        <v>1.2355929299775803</v>
      </c>
      <c r="V5" s="243">
        <f>P5/Q5</f>
        <v>1.0127411477411477</v>
      </c>
    </row>
    <row r="6" spans="2:25">
      <c r="B6" s="904"/>
      <c r="C6" s="212" t="s">
        <v>198</v>
      </c>
      <c r="D6" s="240">
        <f t="shared" ref="D6:D10" si="2">$D$9</f>
        <v>21.28</v>
      </c>
      <c r="E6" s="240">
        <f>$E$9*AD36</f>
        <v>455.96286911040238</v>
      </c>
      <c r="F6" s="240"/>
      <c r="G6" s="240"/>
      <c r="H6" s="240"/>
      <c r="I6" s="241"/>
      <c r="J6" s="242">
        <f t="shared" si="0"/>
        <v>1.1715387181665016</v>
      </c>
      <c r="K6" s="242"/>
      <c r="M6" s="904"/>
      <c r="N6" s="212" t="s">
        <v>199</v>
      </c>
      <c r="O6" s="240">
        <v>35.417000000000002</v>
      </c>
      <c r="P6" s="240">
        <v>1592.48</v>
      </c>
      <c r="Q6" s="240">
        <v>1572</v>
      </c>
      <c r="R6" s="240">
        <v>82.71</v>
      </c>
      <c r="S6" s="240">
        <v>5.81</v>
      </c>
      <c r="T6" s="241">
        <v>31</v>
      </c>
      <c r="U6" s="242">
        <f t="shared" si="1"/>
        <v>1.1861429944062507</v>
      </c>
      <c r="V6" s="243">
        <f t="shared" ref="V6:V10" si="3">P6/Q6</f>
        <v>1.013027989821883</v>
      </c>
      <c r="W6" s="244">
        <v>-0.01</v>
      </c>
    </row>
    <row r="7" spans="2:25">
      <c r="B7" s="904"/>
      <c r="C7" s="212" t="s">
        <v>200</v>
      </c>
      <c r="D7" s="240">
        <f t="shared" si="2"/>
        <v>21.28</v>
      </c>
      <c r="E7" s="240">
        <f>$E$9*AD37</f>
        <v>440.35401302861669</v>
      </c>
      <c r="F7" s="240"/>
      <c r="G7" s="240"/>
      <c r="H7" s="240"/>
      <c r="I7" s="241"/>
      <c r="J7" s="242">
        <f t="shared" si="0"/>
        <v>1.1314337436500943</v>
      </c>
      <c r="K7" s="242"/>
      <c r="M7" s="904"/>
      <c r="N7" s="212" t="s">
        <v>200</v>
      </c>
      <c r="O7" s="240">
        <v>35.631999999999998</v>
      </c>
      <c r="P7" s="240">
        <v>1533.64</v>
      </c>
      <c r="Q7" s="240">
        <v>1480</v>
      </c>
      <c r="R7" s="240">
        <v>81.44</v>
      </c>
      <c r="S7" s="240">
        <v>1.83</v>
      </c>
      <c r="T7" s="241">
        <v>32</v>
      </c>
      <c r="U7" s="242">
        <f t="shared" si="1"/>
        <v>1.1423166017414363</v>
      </c>
      <c r="V7" s="243">
        <f t="shared" si="3"/>
        <v>1.0362432432432434</v>
      </c>
      <c r="W7" s="244">
        <v>-0.01</v>
      </c>
    </row>
    <row r="8" spans="2:25">
      <c r="B8" s="904">
        <v>90</v>
      </c>
      <c r="C8" s="212" t="s">
        <v>201</v>
      </c>
      <c r="D8" s="240">
        <f t="shared" si="2"/>
        <v>21.28</v>
      </c>
      <c r="E8" s="240">
        <f>$E$9*AD38</f>
        <v>417.30059127184967</v>
      </c>
      <c r="F8" s="240"/>
      <c r="G8" s="240"/>
      <c r="H8" s="240"/>
      <c r="I8" s="241"/>
      <c r="J8" s="242">
        <f t="shared" si="0"/>
        <v>1.0722009025484318</v>
      </c>
      <c r="K8" s="242"/>
      <c r="M8" s="904">
        <v>90</v>
      </c>
      <c r="N8" s="212" t="s">
        <v>201</v>
      </c>
      <c r="O8" s="240">
        <v>35.499000000000002</v>
      </c>
      <c r="P8" s="240">
        <v>1424.78</v>
      </c>
      <c r="Q8" s="240">
        <v>1402</v>
      </c>
      <c r="R8" s="240">
        <v>93.91</v>
      </c>
      <c r="S8" s="240">
        <v>63.33</v>
      </c>
      <c r="T8" s="241">
        <v>32</v>
      </c>
      <c r="U8" s="242">
        <f t="shared" si="1"/>
        <v>1.061233306270809</v>
      </c>
      <c r="V8" s="243">
        <f t="shared" si="3"/>
        <v>1.0162482168330955</v>
      </c>
    </row>
    <row r="9" spans="2:25">
      <c r="B9" s="904"/>
      <c r="C9" s="212" t="s">
        <v>199</v>
      </c>
      <c r="D9" s="240">
        <v>21.28</v>
      </c>
      <c r="E9" s="240">
        <v>389.2</v>
      </c>
      <c r="F9" s="240"/>
      <c r="G9" s="240">
        <v>94.45</v>
      </c>
      <c r="H9" s="240">
        <v>58.7</v>
      </c>
      <c r="I9" s="241">
        <v>86</v>
      </c>
      <c r="J9" s="242">
        <f>E9/$E$9</f>
        <v>1</v>
      </c>
      <c r="K9" s="242"/>
      <c r="M9" s="904"/>
      <c r="N9" s="212" t="s">
        <v>199</v>
      </c>
      <c r="O9" s="240">
        <v>35.496000000000002</v>
      </c>
      <c r="P9" s="240">
        <v>1342.57</v>
      </c>
      <c r="Q9" s="240">
        <v>1310</v>
      </c>
      <c r="R9" s="240">
        <v>94.15</v>
      </c>
      <c r="S9" s="240">
        <v>58.43</v>
      </c>
      <c r="T9" s="241">
        <v>309</v>
      </c>
      <c r="U9" s="242">
        <f>P9/$P$9</f>
        <v>1</v>
      </c>
      <c r="V9" s="243">
        <f t="shared" si="3"/>
        <v>1.0248625954198474</v>
      </c>
      <c r="W9" s="245"/>
    </row>
    <row r="10" spans="2:25">
      <c r="B10" s="904"/>
      <c r="C10" s="212" t="s">
        <v>200</v>
      </c>
      <c r="D10" s="240">
        <f t="shared" si="2"/>
        <v>21.28</v>
      </c>
      <c r="E10" s="240">
        <f>$E$9*AD40</f>
        <v>365.2101846517304</v>
      </c>
      <c r="F10" s="240"/>
      <c r="G10" s="240"/>
      <c r="H10" s="240"/>
      <c r="I10" s="241"/>
      <c r="J10" s="242">
        <f>E10/$E$9</f>
        <v>0.93836121441862896</v>
      </c>
      <c r="K10" s="242"/>
      <c r="M10" s="904"/>
      <c r="N10" s="212" t="s">
        <v>200</v>
      </c>
      <c r="O10" s="240">
        <v>35.371000000000002</v>
      </c>
      <c r="P10" s="240">
        <v>1246.77</v>
      </c>
      <c r="Q10" s="240">
        <v>1258</v>
      </c>
      <c r="R10" s="240">
        <v>93.88</v>
      </c>
      <c r="S10" s="240">
        <v>57.55</v>
      </c>
      <c r="T10" s="241">
        <v>31</v>
      </c>
      <c r="U10" s="242">
        <f>P10/$P$9</f>
        <v>0.92864431649746382</v>
      </c>
      <c r="V10" s="243">
        <f t="shared" si="3"/>
        <v>0.99107313195548485</v>
      </c>
    </row>
    <row r="11" spans="2:25">
      <c r="B11" s="904">
        <v>97</v>
      </c>
      <c r="C11" s="212" t="s">
        <v>206</v>
      </c>
      <c r="D11" s="264"/>
      <c r="E11" s="264"/>
      <c r="F11" s="264"/>
      <c r="G11" s="264"/>
      <c r="H11" s="264"/>
      <c r="I11" s="246"/>
      <c r="J11" s="239"/>
      <c r="K11" s="239"/>
      <c r="M11" s="904">
        <v>97</v>
      </c>
      <c r="N11" s="212" t="s">
        <v>206</v>
      </c>
      <c r="O11" s="240"/>
      <c r="P11" s="264"/>
      <c r="Q11" s="264"/>
      <c r="R11" s="264"/>
      <c r="S11" s="264"/>
      <c r="T11" s="246"/>
      <c r="U11" s="239"/>
    </row>
    <row r="12" spans="2:25">
      <c r="B12" s="904"/>
      <c r="C12" s="212" t="s">
        <v>207</v>
      </c>
      <c r="D12" s="264"/>
      <c r="E12" s="264"/>
      <c r="F12" s="264"/>
      <c r="G12" s="264"/>
      <c r="H12" s="264"/>
      <c r="I12" s="246"/>
      <c r="J12" s="239"/>
      <c r="K12" s="239"/>
      <c r="M12" s="904"/>
      <c r="N12" s="212" t="s">
        <v>207</v>
      </c>
      <c r="O12" s="240">
        <v>35.540363820633274</v>
      </c>
      <c r="P12" s="240">
        <v>1187.1670574869656</v>
      </c>
      <c r="Q12" s="240"/>
      <c r="R12" s="240">
        <v>97.412860609534931</v>
      </c>
      <c r="S12" s="240">
        <v>89.501509701449493</v>
      </c>
      <c r="T12" s="246"/>
      <c r="U12" s="242">
        <f t="shared" ref="U12:U13" si="4">P12/$P$9</f>
        <v>0.8842496536396357</v>
      </c>
    </row>
    <row r="13" spans="2:25">
      <c r="B13" s="904"/>
      <c r="C13" s="212" t="s">
        <v>208</v>
      </c>
      <c r="D13" s="264"/>
      <c r="E13" s="264"/>
      <c r="F13" s="264"/>
      <c r="G13" s="264"/>
      <c r="H13" s="264"/>
      <c r="I13" s="246"/>
      <c r="J13" s="239"/>
      <c r="K13" s="239"/>
      <c r="M13" s="904"/>
      <c r="N13" s="212" t="s">
        <v>208</v>
      </c>
      <c r="O13" s="240">
        <v>35.661023034931375</v>
      </c>
      <c r="P13" s="240">
        <v>1130.4835265341935</v>
      </c>
      <c r="Q13" s="240"/>
      <c r="R13" s="240">
        <v>96.517215821554757</v>
      </c>
      <c r="S13" s="240">
        <v>87.487573837820264</v>
      </c>
      <c r="T13" s="246"/>
      <c r="U13" s="242">
        <f t="shared" si="4"/>
        <v>0.8420294856388818</v>
      </c>
    </row>
    <row r="14" spans="2:25">
      <c r="I14" s="246"/>
      <c r="J14" s="239"/>
      <c r="K14" s="239"/>
      <c r="O14" s="247"/>
      <c r="T14" s="246"/>
      <c r="U14" s="239"/>
    </row>
    <row r="15" spans="2:25">
      <c r="B15" s="211" t="s">
        <v>202</v>
      </c>
      <c r="I15" s="246"/>
      <c r="J15" s="239"/>
      <c r="K15" s="239"/>
      <c r="M15" s="288" t="s">
        <v>246</v>
      </c>
      <c r="T15" s="246"/>
      <c r="U15" s="239"/>
    </row>
    <row r="16" spans="2:25">
      <c r="B16" s="212" t="s">
        <v>181</v>
      </c>
      <c r="C16" s="212" t="s">
        <v>182</v>
      </c>
      <c r="D16" s="212" t="s">
        <v>183</v>
      </c>
      <c r="E16" s="212" t="s">
        <v>184</v>
      </c>
      <c r="F16" s="212" t="s">
        <v>185</v>
      </c>
      <c r="G16" s="212" t="s">
        <v>181</v>
      </c>
      <c r="H16" s="212" t="s">
        <v>186</v>
      </c>
      <c r="I16" s="237" t="s">
        <v>203</v>
      </c>
      <c r="J16" s="238" t="s">
        <v>204</v>
      </c>
      <c r="K16" s="238" t="s">
        <v>205</v>
      </c>
      <c r="M16" s="212" t="s">
        <v>181</v>
      </c>
      <c r="N16" s="212" t="s">
        <v>182</v>
      </c>
      <c r="O16" s="212" t="s">
        <v>183</v>
      </c>
      <c r="P16" s="212" t="s">
        <v>184</v>
      </c>
      <c r="Q16" s="212" t="s">
        <v>185</v>
      </c>
      <c r="R16" s="212" t="s">
        <v>181</v>
      </c>
      <c r="S16" s="212" t="s">
        <v>186</v>
      </c>
      <c r="T16" s="237" t="s">
        <v>203</v>
      </c>
      <c r="U16" s="238" t="s">
        <v>204</v>
      </c>
      <c r="V16" s="238" t="s">
        <v>205</v>
      </c>
      <c r="W16" s="287" t="s">
        <v>253</v>
      </c>
      <c r="X16" s="291" t="s">
        <v>254</v>
      </c>
    </row>
    <row r="17" spans="2:26">
      <c r="B17" s="904">
        <v>80</v>
      </c>
      <c r="C17" s="212" t="s">
        <v>201</v>
      </c>
      <c r="D17" s="240">
        <v>35.966000000000001</v>
      </c>
      <c r="E17" s="240">
        <v>818.44</v>
      </c>
      <c r="F17" s="240">
        <v>813</v>
      </c>
      <c r="G17" s="240">
        <v>84.66</v>
      </c>
      <c r="H17" s="240">
        <v>15.23</v>
      </c>
      <c r="I17" s="241">
        <v>31</v>
      </c>
      <c r="J17" s="242">
        <f t="shared" ref="J17:J20" si="5">E17/$E$21</f>
        <v>1.2398727465535526</v>
      </c>
      <c r="K17" s="242">
        <f>E17/F17</f>
        <v>1.0066912669126693</v>
      </c>
      <c r="M17" s="904">
        <v>80</v>
      </c>
      <c r="N17" s="284" t="s">
        <v>243</v>
      </c>
      <c r="O17" s="240">
        <v>35.827707889599772</v>
      </c>
      <c r="P17" s="240">
        <v>3410.0854334160372</v>
      </c>
      <c r="Q17" s="240"/>
      <c r="R17" s="240">
        <v>84.221663626886453</v>
      </c>
      <c r="S17" s="240">
        <v>11.952354224617581</v>
      </c>
      <c r="T17" s="249">
        <v>15</v>
      </c>
      <c r="U17" s="242">
        <f t="shared" ref="U17:U27" si="6">P17/$P$25</f>
        <v>1.2496419493251874</v>
      </c>
      <c r="V17" s="243" t="e">
        <f>P17/Q17</f>
        <v>#DIV/0!</v>
      </c>
      <c r="W17" s="283"/>
      <c r="X17" s="244"/>
    </row>
    <row r="18" spans="2:26">
      <c r="B18" s="904"/>
      <c r="C18" s="212" t="s">
        <v>207</v>
      </c>
      <c r="D18" s="240">
        <v>36.051000000000002</v>
      </c>
      <c r="E18" s="240">
        <v>787.44</v>
      </c>
      <c r="F18" s="240">
        <v>780</v>
      </c>
      <c r="G18" s="240">
        <v>82.88</v>
      </c>
      <c r="H18" s="240">
        <v>6.55</v>
      </c>
      <c r="I18" s="241">
        <v>32</v>
      </c>
      <c r="J18" s="242">
        <f t="shared" si="5"/>
        <v>1.1929101651264959</v>
      </c>
      <c r="K18" s="242">
        <f t="shared" ref="K18:K22" si="7">E18/F18</f>
        <v>1.0095384615384617</v>
      </c>
      <c r="L18" s="244">
        <v>-0.01</v>
      </c>
      <c r="M18" s="904"/>
      <c r="N18" s="212" t="s">
        <v>206</v>
      </c>
      <c r="O18" s="240">
        <v>35.697000000000003</v>
      </c>
      <c r="P18" s="240">
        <v>3363.34</v>
      </c>
      <c r="Q18" s="240">
        <v>3350</v>
      </c>
      <c r="R18" s="240">
        <v>84.12</v>
      </c>
      <c r="S18" s="240">
        <v>12.68</v>
      </c>
      <c r="T18" s="241">
        <v>44</v>
      </c>
      <c r="U18" s="242">
        <f t="shared" si="6"/>
        <v>1.232511863972003</v>
      </c>
      <c r="V18" s="243">
        <f>P18/Q18</f>
        <v>1.0039820895522389</v>
      </c>
      <c r="W18" s="283"/>
      <c r="X18" s="244"/>
    </row>
    <row r="19" spans="2:26">
      <c r="B19" s="904"/>
      <c r="C19" s="212" t="s">
        <v>208</v>
      </c>
      <c r="D19" s="240">
        <v>36.081000000000003</v>
      </c>
      <c r="E19" s="240">
        <v>760.62</v>
      </c>
      <c r="F19" s="240">
        <v>735</v>
      </c>
      <c r="G19" s="240">
        <v>81.48</v>
      </c>
      <c r="H19" s="240">
        <v>2.0499999999999998</v>
      </c>
      <c r="I19" s="241">
        <v>31</v>
      </c>
      <c r="J19" s="242">
        <f t="shared" si="5"/>
        <v>1.1522799575821845</v>
      </c>
      <c r="K19" s="242">
        <f t="shared" si="7"/>
        <v>1.0348571428571429</v>
      </c>
      <c r="L19" s="244">
        <v>-0.01</v>
      </c>
      <c r="M19" s="904"/>
      <c r="N19" s="285" t="s">
        <v>244</v>
      </c>
      <c r="O19" s="240">
        <v>35.829483328394197</v>
      </c>
      <c r="P19" s="240">
        <v>3325.2025416782294</v>
      </c>
      <c r="Q19" s="240">
        <v>3297</v>
      </c>
      <c r="R19" s="240">
        <v>83.770479936283579</v>
      </c>
      <c r="S19" s="240">
        <v>9.8710725480912931</v>
      </c>
      <c r="T19" s="249">
        <v>26</v>
      </c>
      <c r="U19" s="242">
        <f t="shared" si="6"/>
        <v>1.2185362118395036</v>
      </c>
      <c r="V19" s="243">
        <f>P19/Q19</f>
        <v>1.0085540011156291</v>
      </c>
      <c r="W19" s="283"/>
      <c r="X19" s="244"/>
    </row>
    <row r="20" spans="2:26">
      <c r="B20" s="904">
        <v>90</v>
      </c>
      <c r="C20" s="212" t="s">
        <v>206</v>
      </c>
      <c r="D20" s="240">
        <v>35.476999999999997</v>
      </c>
      <c r="E20" s="240">
        <v>716.22</v>
      </c>
      <c r="F20" s="240">
        <v>696</v>
      </c>
      <c r="G20" s="240">
        <v>92.16</v>
      </c>
      <c r="H20" s="240">
        <v>57.54</v>
      </c>
      <c r="I20" s="241">
        <v>32</v>
      </c>
      <c r="J20" s="242">
        <f t="shared" si="5"/>
        <v>1.0850174216027875</v>
      </c>
      <c r="K20" s="242">
        <f t="shared" si="7"/>
        <v>1.0290517241379311</v>
      </c>
      <c r="M20" s="904"/>
      <c r="N20" s="212" t="s">
        <v>207</v>
      </c>
      <c r="O20" s="240">
        <v>35.673999999999999</v>
      </c>
      <c r="P20" s="240">
        <v>3228.54</v>
      </c>
      <c r="Q20" s="240">
        <v>3216</v>
      </c>
      <c r="R20" s="295">
        <v>82.84</v>
      </c>
      <c r="S20" s="295">
        <v>6.34</v>
      </c>
      <c r="T20" s="241">
        <v>44</v>
      </c>
      <c r="U20" s="242">
        <f t="shared" si="6"/>
        <v>1.1831137658720707</v>
      </c>
      <c r="V20" s="243">
        <f t="shared" ref="V20:V21" si="8">P20/Q20</f>
        <v>1.0038992537313434</v>
      </c>
      <c r="W20" s="283">
        <v>0.99</v>
      </c>
    </row>
    <row r="21" spans="2:26">
      <c r="B21" s="904"/>
      <c r="C21" s="212" t="s">
        <v>207</v>
      </c>
      <c r="D21" s="240">
        <v>35.56</v>
      </c>
      <c r="E21" s="240">
        <v>660.1</v>
      </c>
      <c r="F21" s="240">
        <v>650</v>
      </c>
      <c r="G21" s="240">
        <v>93.82</v>
      </c>
      <c r="H21" s="240">
        <v>58.94</v>
      </c>
      <c r="I21" s="241">
        <v>320</v>
      </c>
      <c r="J21" s="242">
        <f>E21/$E$21</f>
        <v>1</v>
      </c>
      <c r="K21" s="242">
        <f t="shared" si="7"/>
        <v>1.0155384615384615</v>
      </c>
      <c r="M21" s="904"/>
      <c r="N21" s="212" t="s">
        <v>208</v>
      </c>
      <c r="O21" s="240">
        <v>35.765999999999998</v>
      </c>
      <c r="P21" s="240">
        <v>3157.83</v>
      </c>
      <c r="Q21" s="240">
        <v>3029</v>
      </c>
      <c r="R21" s="295">
        <v>81.53</v>
      </c>
      <c r="S21" s="295">
        <v>1.8</v>
      </c>
      <c r="T21" s="241">
        <v>15</v>
      </c>
      <c r="U21" s="242">
        <f t="shared" si="6"/>
        <v>1.157201751653627</v>
      </c>
      <c r="V21" s="243">
        <f t="shared" si="8"/>
        <v>1.0425321888412018</v>
      </c>
      <c r="W21" s="283">
        <v>0.99</v>
      </c>
      <c r="X21" s="283">
        <v>0.99</v>
      </c>
    </row>
    <row r="22" spans="2:26">
      <c r="B22" s="904"/>
      <c r="C22" s="212" t="s">
        <v>208</v>
      </c>
      <c r="D22" s="240">
        <v>35.506999999999998</v>
      </c>
      <c r="E22" s="240">
        <v>625.77</v>
      </c>
      <c r="F22" s="240">
        <v>624</v>
      </c>
      <c r="G22" s="240">
        <v>94.46</v>
      </c>
      <c r="H22" s="240">
        <v>59.39</v>
      </c>
      <c r="I22" s="241">
        <v>32</v>
      </c>
      <c r="J22" s="242">
        <f>E22/$E$21</f>
        <v>0.94799272837448867</v>
      </c>
      <c r="K22" s="242">
        <f t="shared" si="7"/>
        <v>1.0028365384615385</v>
      </c>
      <c r="M22" s="904">
        <v>90</v>
      </c>
      <c r="N22" s="285" t="s">
        <v>243</v>
      </c>
      <c r="O22" s="240">
        <v>35.94206821556169</v>
      </c>
      <c r="P22" s="240">
        <v>2999.3530522212104</v>
      </c>
      <c r="Q22" s="240"/>
      <c r="R22" s="295">
        <v>92.237340828447486</v>
      </c>
      <c r="S22" s="240">
        <v>58.913783694464655</v>
      </c>
      <c r="T22" s="249">
        <v>15</v>
      </c>
      <c r="U22" s="242">
        <f t="shared" si="6"/>
        <v>1.0991271239610865</v>
      </c>
      <c r="V22" s="243" t="e">
        <f>P22/Q22</f>
        <v>#DIV/0!</v>
      </c>
      <c r="X22" s="283">
        <v>0.99</v>
      </c>
    </row>
    <row r="23" spans="2:26">
      <c r="B23" s="904">
        <v>97</v>
      </c>
      <c r="C23" s="212" t="s">
        <v>206</v>
      </c>
      <c r="D23" s="240"/>
      <c r="E23" s="264"/>
      <c r="F23" s="264"/>
      <c r="G23" s="264"/>
      <c r="H23" s="264"/>
      <c r="M23" s="904"/>
      <c r="N23" s="212" t="s">
        <v>206</v>
      </c>
      <c r="O23" s="240">
        <v>35.704999999999998</v>
      </c>
      <c r="P23" s="240">
        <v>2920.83</v>
      </c>
      <c r="Q23" s="240">
        <v>2868</v>
      </c>
      <c r="R23" s="240">
        <v>93.88</v>
      </c>
      <c r="S23" s="240">
        <v>63.85</v>
      </c>
      <c r="T23" s="241">
        <v>15</v>
      </c>
      <c r="U23" s="242">
        <f t="shared" si="6"/>
        <v>1.0703519797716987</v>
      </c>
      <c r="V23" s="243">
        <f>P23/Q23</f>
        <v>1.0184205020920503</v>
      </c>
    </row>
    <row r="24" spans="2:26">
      <c r="B24" s="904"/>
      <c r="C24" s="212" t="s">
        <v>207</v>
      </c>
      <c r="D24" s="240">
        <v>35.36813558524512</v>
      </c>
      <c r="E24" s="240">
        <v>586.62250225407638</v>
      </c>
      <c r="F24" s="240"/>
      <c r="G24" s="240">
        <v>97.675708323579642</v>
      </c>
      <c r="H24" s="240">
        <v>89.00569196817122</v>
      </c>
      <c r="I24" s="249">
        <v>32</v>
      </c>
      <c r="J24" s="242">
        <f>E24/$E$21</f>
        <v>0.88868732351776447</v>
      </c>
      <c r="M24" s="904"/>
      <c r="N24" s="285" t="s">
        <v>244</v>
      </c>
      <c r="O24" s="240">
        <v>35.760980623335634</v>
      </c>
      <c r="P24" s="240">
        <v>2879.5180844731735</v>
      </c>
      <c r="Q24" s="240">
        <v>2761</v>
      </c>
      <c r="R24" s="295">
        <v>93.224936909791651</v>
      </c>
      <c r="S24" s="240">
        <v>57.992813080397433</v>
      </c>
      <c r="T24" s="249">
        <v>14</v>
      </c>
      <c r="U24" s="242">
        <f t="shared" si="6"/>
        <v>1.0552130327695453</v>
      </c>
      <c r="V24" s="243">
        <f t="shared" ref="V24:V30" si="9">P24/Q24</f>
        <v>1.0429257821344344</v>
      </c>
      <c r="X24" s="283">
        <v>0.99</v>
      </c>
    </row>
    <row r="25" spans="2:26">
      <c r="B25" s="904"/>
      <c r="C25" s="212" t="s">
        <v>208</v>
      </c>
      <c r="D25" s="240">
        <v>35.584070146670257</v>
      </c>
      <c r="E25" s="240">
        <v>562.65067889417594</v>
      </c>
      <c r="F25" s="240"/>
      <c r="G25" s="240">
        <v>97.01542965096732</v>
      </c>
      <c r="H25" s="240">
        <v>87.192926671728188</v>
      </c>
      <c r="I25" s="249">
        <v>32</v>
      </c>
      <c r="J25" s="242">
        <f t="shared" ref="J25" si="10">E25/$E$21</f>
        <v>0.85237188137278586</v>
      </c>
      <c r="M25" s="904"/>
      <c r="N25" s="212" t="s">
        <v>207</v>
      </c>
      <c r="O25" s="240">
        <v>35.56</v>
      </c>
      <c r="P25" s="240">
        <v>2728.85</v>
      </c>
      <c r="Q25" s="240">
        <v>2680</v>
      </c>
      <c r="R25" s="240">
        <v>93.83</v>
      </c>
      <c r="S25" s="240">
        <v>56.35</v>
      </c>
      <c r="T25" s="241">
        <v>143</v>
      </c>
      <c r="U25" s="242">
        <f t="shared" si="6"/>
        <v>1</v>
      </c>
      <c r="V25" s="243">
        <f t="shared" si="9"/>
        <v>1.0182276119402984</v>
      </c>
    </row>
    <row r="26" spans="2:26">
      <c r="M26" s="904"/>
      <c r="N26" s="212" t="s">
        <v>208</v>
      </c>
      <c r="O26" s="240">
        <v>35.466999999999999</v>
      </c>
      <c r="P26" s="240">
        <v>2560.88</v>
      </c>
      <c r="Q26" s="240">
        <v>2573</v>
      </c>
      <c r="R26" s="240">
        <v>94.19</v>
      </c>
      <c r="S26" s="240">
        <v>58.24</v>
      </c>
      <c r="T26" s="241">
        <v>15</v>
      </c>
      <c r="U26" s="242">
        <f t="shared" si="6"/>
        <v>0.93844659838393474</v>
      </c>
      <c r="V26" s="243">
        <f t="shared" si="9"/>
        <v>0.99528954527788582</v>
      </c>
    </row>
    <row r="27" spans="2:26">
      <c r="M27" s="904"/>
      <c r="N27" s="285" t="s">
        <v>245</v>
      </c>
      <c r="O27" s="240">
        <v>35.866167580179471</v>
      </c>
      <c r="P27" s="240">
        <v>2423.9996619465214</v>
      </c>
      <c r="Q27" s="240"/>
      <c r="R27" s="240">
        <v>93.312668540445486</v>
      </c>
      <c r="S27" s="295">
        <v>54.521926358068363</v>
      </c>
      <c r="T27" s="249">
        <v>8</v>
      </c>
      <c r="U27" s="242">
        <f t="shared" si="6"/>
        <v>0.88828615055665261</v>
      </c>
      <c r="V27" s="243" t="e">
        <f t="shared" si="9"/>
        <v>#DIV/0!</v>
      </c>
      <c r="X27" s="283">
        <v>0.99</v>
      </c>
    </row>
    <row r="28" spans="2:26">
      <c r="M28" s="904">
        <v>97</v>
      </c>
      <c r="N28" s="212" t="s">
        <v>206</v>
      </c>
      <c r="O28" s="240"/>
      <c r="P28" s="264"/>
      <c r="Q28" s="264"/>
      <c r="R28" s="264"/>
      <c r="S28" s="264"/>
      <c r="V28" s="243" t="e">
        <f t="shared" si="9"/>
        <v>#DIV/0!</v>
      </c>
    </row>
    <row r="29" spans="2:26">
      <c r="M29" s="904"/>
      <c r="N29" s="212" t="s">
        <v>207</v>
      </c>
      <c r="O29" s="240">
        <v>35.891799223933056</v>
      </c>
      <c r="P29" s="240">
        <v>2446.0835573679328</v>
      </c>
      <c r="Q29" s="240"/>
      <c r="R29" s="240">
        <v>98.16515912702333</v>
      </c>
      <c r="S29" s="240">
        <v>89.320201868266707</v>
      </c>
      <c r="T29" s="249">
        <v>15</v>
      </c>
      <c r="U29" s="242">
        <f>P29/$P$25</f>
        <v>0.89637889857190134</v>
      </c>
      <c r="V29" s="243" t="e">
        <f t="shared" si="9"/>
        <v>#DIV/0!</v>
      </c>
    </row>
    <row r="30" spans="2:26">
      <c r="M30" s="904"/>
      <c r="N30" s="212" t="s">
        <v>208</v>
      </c>
      <c r="O30" s="240">
        <v>35.876593715533247</v>
      </c>
      <c r="P30" s="240">
        <v>2319.5404407664237</v>
      </c>
      <c r="Q30" s="240"/>
      <c r="R30" s="240">
        <v>97.162921371870695</v>
      </c>
      <c r="S30" s="240">
        <v>88.249243397269879</v>
      </c>
      <c r="T30" s="249">
        <v>14</v>
      </c>
      <c r="U30" s="242">
        <f>P30/$P$25</f>
        <v>0.85000657447878181</v>
      </c>
      <c r="V30" s="243" t="e">
        <f t="shared" si="9"/>
        <v>#DIV/0!</v>
      </c>
    </row>
    <row r="31" spans="2:26" ht="22.5">
      <c r="B31" s="248" t="s">
        <v>209</v>
      </c>
      <c r="M31" s="249"/>
      <c r="N31" s="249"/>
      <c r="O31" s="249"/>
      <c r="P31" s="247"/>
      <c r="Q31" s="249"/>
      <c r="R31" s="247"/>
      <c r="S31" s="249"/>
      <c r="X31" s="249"/>
      <c r="Y31" s="296"/>
      <c r="Z31" s="249"/>
    </row>
    <row r="33" spans="2:35">
      <c r="B33" s="211" t="s">
        <v>210</v>
      </c>
      <c r="O33" s="211" t="s">
        <v>211</v>
      </c>
    </row>
    <row r="34" spans="2:35">
      <c r="B34" s="212" t="s">
        <v>212</v>
      </c>
      <c r="C34" s="212" t="s">
        <v>213</v>
      </c>
      <c r="D34" s="212" t="s">
        <v>214</v>
      </c>
      <c r="E34" s="212" t="s">
        <v>215</v>
      </c>
      <c r="F34" s="212" t="s">
        <v>216</v>
      </c>
      <c r="G34" s="212" t="s">
        <v>217</v>
      </c>
      <c r="H34" s="212" t="s">
        <v>218</v>
      </c>
      <c r="I34" s="212" t="s">
        <v>212</v>
      </c>
      <c r="J34" s="212" t="s">
        <v>219</v>
      </c>
      <c r="K34" s="237"/>
      <c r="L34" s="238" t="s">
        <v>220</v>
      </c>
      <c r="M34" s="238" t="s">
        <v>221</v>
      </c>
      <c r="O34" s="212" t="s">
        <v>212</v>
      </c>
      <c r="P34" s="212" t="s">
        <v>213</v>
      </c>
      <c r="Q34" s="212" t="s">
        <v>214</v>
      </c>
      <c r="R34" s="212" t="s">
        <v>215</v>
      </c>
      <c r="S34" s="212" t="s">
        <v>216</v>
      </c>
      <c r="T34" s="212" t="s">
        <v>217</v>
      </c>
      <c r="U34" s="212" t="s">
        <v>218</v>
      </c>
      <c r="V34" s="212" t="s">
        <v>212</v>
      </c>
      <c r="W34" s="212" t="s">
        <v>219</v>
      </c>
      <c r="X34" s="237"/>
      <c r="Y34" s="238"/>
      <c r="Z34" s="238" t="s">
        <v>221</v>
      </c>
      <c r="AB34" s="212" t="s">
        <v>212</v>
      </c>
      <c r="AC34" s="212" t="s">
        <v>213</v>
      </c>
      <c r="AD34" s="250" t="s">
        <v>220</v>
      </c>
    </row>
    <row r="35" spans="2:35">
      <c r="B35" s="904">
        <v>80</v>
      </c>
      <c r="C35" s="212" t="s">
        <v>206</v>
      </c>
      <c r="D35" s="212">
        <v>175</v>
      </c>
      <c r="E35" s="240">
        <f>$D$9</f>
        <v>21.28</v>
      </c>
      <c r="F35" s="268">
        <f>ROUNDDOWN(K35,0)</f>
        <v>479</v>
      </c>
      <c r="G35" s="251">
        <f>F35/(D35*E35/1000)</f>
        <v>128.625134264232</v>
      </c>
      <c r="H35" s="240"/>
      <c r="I35" s="240"/>
      <c r="J35" s="240"/>
      <c r="K35" s="266">
        <f>$K$39*AD35</f>
        <v>479.4397580114113</v>
      </c>
      <c r="L35" s="242"/>
      <c r="M35" s="242"/>
      <c r="O35" s="904">
        <v>80</v>
      </c>
      <c r="P35" s="212" t="s">
        <v>201</v>
      </c>
      <c r="Q35" s="212">
        <v>350</v>
      </c>
      <c r="R35" s="240">
        <v>35.6</v>
      </c>
      <c r="S35" s="268">
        <f>ROUNDDOWN(X35,0)</f>
        <v>1658</v>
      </c>
      <c r="T35" s="251">
        <f>S35/(Q35*R35/1000)</f>
        <v>133.06581059390047</v>
      </c>
      <c r="U35" s="251">
        <v>1638</v>
      </c>
      <c r="V35" s="240">
        <f t="shared" ref="V35:W40" si="11">R5</f>
        <v>84.48</v>
      </c>
      <c r="W35" s="240">
        <f t="shared" si="11"/>
        <v>14.31</v>
      </c>
      <c r="X35" s="241">
        <f>P5</f>
        <v>1658.87</v>
      </c>
      <c r="Y35" s="242">
        <f t="shared" ref="Y35:Y43" si="12">X35/$X$39</f>
        <v>1.2355929299775803</v>
      </c>
      <c r="Z35" s="243">
        <f t="shared" ref="Z35:Z40" si="13">S35/U35</f>
        <v>1.0122100122100122</v>
      </c>
      <c r="AB35" s="904">
        <v>80</v>
      </c>
      <c r="AC35" s="212" t="s">
        <v>201</v>
      </c>
      <c r="AD35" s="252">
        <f>AVERAGE(Y35,L48,Y49)</f>
        <v>1.2318596043458667</v>
      </c>
    </row>
    <row r="36" spans="2:35">
      <c r="B36" s="904"/>
      <c r="C36" s="212" t="s">
        <v>199</v>
      </c>
      <c r="D36" s="212">
        <v>175</v>
      </c>
      <c r="E36" s="240">
        <f t="shared" ref="E36:E43" si="14">$D$9</f>
        <v>21.28</v>
      </c>
      <c r="F36" s="268">
        <f t="shared" ref="F36:F40" si="15">ROUNDDOWN(K36,0)</f>
        <v>455</v>
      </c>
      <c r="G36" s="251">
        <f t="shared" ref="G36:G40" si="16">F36/(D36*E36/1000)</f>
        <v>122.18045112781954</v>
      </c>
      <c r="H36" s="240"/>
      <c r="I36" s="240"/>
      <c r="J36" s="240"/>
      <c r="K36" s="266">
        <f>$K$39*AD36</f>
        <v>455.96286911040238</v>
      </c>
      <c r="L36" s="242"/>
      <c r="M36" s="242"/>
      <c r="O36" s="904"/>
      <c r="P36" s="212" t="s">
        <v>199</v>
      </c>
      <c r="Q36" s="212">
        <v>350</v>
      </c>
      <c r="R36" s="240">
        <v>35.6</v>
      </c>
      <c r="S36" s="268">
        <f t="shared" ref="S36:S39" si="17">ROUNDDOWN(X36,0)</f>
        <v>1576</v>
      </c>
      <c r="T36" s="251">
        <f t="shared" ref="T36:T40" si="18">S36/(Q36*R36/1000)</f>
        <v>126.48475120385231</v>
      </c>
      <c r="U36" s="251">
        <v>1572</v>
      </c>
      <c r="V36" s="240">
        <f t="shared" si="11"/>
        <v>82.71</v>
      </c>
      <c r="W36" s="240">
        <f t="shared" si="11"/>
        <v>5.81</v>
      </c>
      <c r="X36" s="241">
        <f>P6*0.99</f>
        <v>1576.5552</v>
      </c>
      <c r="Y36" s="242">
        <f t="shared" si="12"/>
        <v>1.1742815644621882</v>
      </c>
      <c r="Z36" s="243">
        <f t="shared" si="13"/>
        <v>1.0025445292620865</v>
      </c>
      <c r="AB36" s="904"/>
      <c r="AC36" s="212" t="s">
        <v>199</v>
      </c>
      <c r="AD36" s="252">
        <f>AVERAGE(Y36,L49,Y51)</f>
        <v>1.1715387181665016</v>
      </c>
    </row>
    <row r="37" spans="2:35">
      <c r="B37" s="904"/>
      <c r="C37" s="212" t="s">
        <v>200</v>
      </c>
      <c r="D37" s="212">
        <v>175</v>
      </c>
      <c r="E37" s="240">
        <f t="shared" si="14"/>
        <v>21.28</v>
      </c>
      <c r="F37" s="268">
        <f t="shared" si="15"/>
        <v>440</v>
      </c>
      <c r="G37" s="251">
        <f t="shared" si="16"/>
        <v>118.15252416756175</v>
      </c>
      <c r="H37" s="240"/>
      <c r="I37" s="240"/>
      <c r="J37" s="240"/>
      <c r="K37" s="266">
        <f>$K$39*AD37</f>
        <v>440.35401302861669</v>
      </c>
      <c r="L37" s="242"/>
      <c r="M37" s="242"/>
      <c r="O37" s="904"/>
      <c r="P37" s="212" t="s">
        <v>200</v>
      </c>
      <c r="Q37" s="212">
        <v>350</v>
      </c>
      <c r="R37" s="240">
        <v>35.6</v>
      </c>
      <c r="S37" s="268">
        <f t="shared" si="17"/>
        <v>1518</v>
      </c>
      <c r="T37" s="251">
        <f t="shared" si="18"/>
        <v>121.8298555377207</v>
      </c>
      <c r="U37" s="251">
        <v>1480</v>
      </c>
      <c r="V37" s="240">
        <f t="shared" si="11"/>
        <v>81.44</v>
      </c>
      <c r="W37" s="240">
        <f t="shared" si="11"/>
        <v>1.83</v>
      </c>
      <c r="X37" s="241">
        <f>P7*0.99</f>
        <v>1518.3036000000002</v>
      </c>
      <c r="Y37" s="242">
        <f t="shared" si="12"/>
        <v>1.1308934357240221</v>
      </c>
      <c r="Z37" s="243">
        <f t="shared" si="13"/>
        <v>1.0256756756756757</v>
      </c>
      <c r="AB37" s="904"/>
      <c r="AC37" s="212" t="s">
        <v>200</v>
      </c>
      <c r="AD37" s="252">
        <f>AVERAGE(Y37,L50,Y52)</f>
        <v>1.1314337436500943</v>
      </c>
    </row>
    <row r="38" spans="2:35">
      <c r="B38" s="904">
        <v>90</v>
      </c>
      <c r="C38" s="212" t="s">
        <v>201</v>
      </c>
      <c r="D38" s="212">
        <v>175</v>
      </c>
      <c r="E38" s="240">
        <f t="shared" si="14"/>
        <v>21.28</v>
      </c>
      <c r="F38" s="268">
        <f t="shared" si="15"/>
        <v>417</v>
      </c>
      <c r="G38" s="251">
        <f t="shared" si="16"/>
        <v>111.97636949516648</v>
      </c>
      <c r="H38" s="240"/>
      <c r="I38" s="240"/>
      <c r="J38" s="240"/>
      <c r="K38" s="266">
        <f>$K$39*AD38</f>
        <v>417.30059127184967</v>
      </c>
      <c r="L38" s="242"/>
      <c r="M38" s="242"/>
      <c r="O38" s="904">
        <v>90</v>
      </c>
      <c r="P38" s="212" t="s">
        <v>201</v>
      </c>
      <c r="Q38" s="212">
        <v>350</v>
      </c>
      <c r="R38" s="240">
        <v>35.6</v>
      </c>
      <c r="S38" s="268">
        <f t="shared" si="17"/>
        <v>1424</v>
      </c>
      <c r="T38" s="251">
        <f t="shared" si="18"/>
        <v>114.28571428571428</v>
      </c>
      <c r="U38" s="251">
        <v>1402</v>
      </c>
      <c r="V38" s="240">
        <f t="shared" si="11"/>
        <v>93.91</v>
      </c>
      <c r="W38" s="240">
        <f t="shared" si="11"/>
        <v>63.33</v>
      </c>
      <c r="X38" s="241">
        <f>P8</f>
        <v>1424.78</v>
      </c>
      <c r="Y38" s="242">
        <f t="shared" si="12"/>
        <v>1.061233306270809</v>
      </c>
      <c r="Z38" s="243">
        <f t="shared" si="13"/>
        <v>1.0156918687589158</v>
      </c>
      <c r="AB38" s="904">
        <v>90</v>
      </c>
      <c r="AC38" s="212" t="s">
        <v>201</v>
      </c>
      <c r="AD38" s="252">
        <f>AVERAGE(Y38,L51,Y54)</f>
        <v>1.0722009025484318</v>
      </c>
    </row>
    <row r="39" spans="2:35">
      <c r="B39" s="904"/>
      <c r="C39" s="212" t="s">
        <v>199</v>
      </c>
      <c r="D39" s="212">
        <v>175</v>
      </c>
      <c r="E39" s="240">
        <v>21.28</v>
      </c>
      <c r="F39" s="268">
        <f t="shared" si="15"/>
        <v>389</v>
      </c>
      <c r="G39" s="251">
        <f t="shared" si="16"/>
        <v>104.45757250268528</v>
      </c>
      <c r="H39" s="240"/>
      <c r="I39" s="240">
        <v>94.45</v>
      </c>
      <c r="J39" s="240">
        <v>58.7</v>
      </c>
      <c r="K39" s="241">
        <f>E9</f>
        <v>389.2</v>
      </c>
      <c r="L39" s="242"/>
      <c r="M39" s="242"/>
      <c r="O39" s="904"/>
      <c r="P39" s="212" t="s">
        <v>199</v>
      </c>
      <c r="Q39" s="212">
        <v>350</v>
      </c>
      <c r="R39" s="240">
        <v>35.6</v>
      </c>
      <c r="S39" s="268">
        <f t="shared" si="17"/>
        <v>1342</v>
      </c>
      <c r="T39" s="251">
        <f t="shared" si="18"/>
        <v>107.70465489566612</v>
      </c>
      <c r="U39" s="251">
        <v>1310</v>
      </c>
      <c r="V39" s="240">
        <f t="shared" si="11"/>
        <v>94.15</v>
      </c>
      <c r="W39" s="240">
        <f t="shared" si="11"/>
        <v>58.43</v>
      </c>
      <c r="X39" s="241">
        <f>P9</f>
        <v>1342.57</v>
      </c>
      <c r="Y39" s="242">
        <f t="shared" si="12"/>
        <v>1</v>
      </c>
      <c r="Z39" s="243">
        <f t="shared" si="13"/>
        <v>1.0244274809160305</v>
      </c>
      <c r="AB39" s="904"/>
      <c r="AC39" s="212" t="s">
        <v>199</v>
      </c>
      <c r="AD39" s="252">
        <f>AVERAGE(Y39,L52,Y56)</f>
        <v>1</v>
      </c>
    </row>
    <row r="40" spans="2:35">
      <c r="B40" s="904"/>
      <c r="C40" s="212" t="s">
        <v>200</v>
      </c>
      <c r="D40" s="212">
        <v>175</v>
      </c>
      <c r="E40" s="240">
        <f t="shared" si="14"/>
        <v>21.28</v>
      </c>
      <c r="F40" s="268">
        <f t="shared" si="15"/>
        <v>365</v>
      </c>
      <c r="G40" s="251">
        <f t="shared" si="16"/>
        <v>98.012889366272816</v>
      </c>
      <c r="H40" s="240"/>
      <c r="I40" s="240"/>
      <c r="J40" s="240"/>
      <c r="K40" s="266">
        <f>$K$39*AD40</f>
        <v>365.2101846517304</v>
      </c>
      <c r="L40" s="242"/>
      <c r="M40" s="242"/>
      <c r="O40" s="904"/>
      <c r="P40" s="212" t="s">
        <v>200</v>
      </c>
      <c r="Q40" s="212">
        <v>350</v>
      </c>
      <c r="R40" s="240">
        <v>35.6</v>
      </c>
      <c r="S40" s="268">
        <f>ROUNDDOWN(X40,0)</f>
        <v>1246</v>
      </c>
      <c r="T40" s="251">
        <f t="shared" si="18"/>
        <v>100</v>
      </c>
      <c r="U40" s="251">
        <v>1258</v>
      </c>
      <c r="V40" s="240">
        <f t="shared" si="11"/>
        <v>93.88</v>
      </c>
      <c r="W40" s="240">
        <f t="shared" si="11"/>
        <v>57.55</v>
      </c>
      <c r="X40" s="241">
        <f>P10</f>
        <v>1246.77</v>
      </c>
      <c r="Y40" s="242">
        <f t="shared" si="12"/>
        <v>0.92864431649746382</v>
      </c>
      <c r="Z40" s="243">
        <f t="shared" si="13"/>
        <v>0.99046104928457868</v>
      </c>
      <c r="AB40" s="904"/>
      <c r="AC40" s="212" t="s">
        <v>200</v>
      </c>
      <c r="AD40" s="252">
        <f>AVERAGE(Y40,L53,Y57)</f>
        <v>0.93836121441862907</v>
      </c>
    </row>
    <row r="41" spans="2:35">
      <c r="B41" s="904">
        <v>97</v>
      </c>
      <c r="C41" s="212" t="s">
        <v>206</v>
      </c>
      <c r="D41" s="212">
        <v>175</v>
      </c>
      <c r="E41" s="240">
        <f t="shared" si="14"/>
        <v>21.28</v>
      </c>
      <c r="F41" s="268">
        <f t="shared" ref="F41:F43" si="19">ROUNDDOWN(K41,0)</f>
        <v>383</v>
      </c>
      <c r="G41" s="251">
        <f t="shared" ref="G41:G43" si="20">F41/(D41*E41/1000)</f>
        <v>102.84640171858216</v>
      </c>
      <c r="H41" s="264"/>
      <c r="I41" s="264"/>
      <c r="J41" s="264"/>
      <c r="K41" s="267">
        <f>$K$39*AD41</f>
        <v>383.09083946008701</v>
      </c>
      <c r="O41" s="904">
        <v>97</v>
      </c>
      <c r="P41" s="212" t="s">
        <v>206</v>
      </c>
      <c r="Q41" s="212">
        <v>350</v>
      </c>
      <c r="R41" s="240">
        <v>35.6</v>
      </c>
      <c r="S41" s="268">
        <f>ROUNDDOWN(X41,0)</f>
        <v>1321</v>
      </c>
      <c r="T41" s="251">
        <f t="shared" ref="T41:T43" si="21">S41/(Q41*R41/1000)</f>
        <v>106.01926163723915</v>
      </c>
      <c r="U41" s="251"/>
      <c r="V41" s="240"/>
      <c r="W41" s="240"/>
      <c r="X41" s="266">
        <f>X39*$AD$41</f>
        <v>1321.4960645784404</v>
      </c>
      <c r="Y41" s="242">
        <f t="shared" si="12"/>
        <v>0.98430328741029549</v>
      </c>
      <c r="AB41" s="904">
        <v>97</v>
      </c>
      <c r="AC41" s="212" t="s">
        <v>201</v>
      </c>
      <c r="AD41" s="265">
        <f>AD42*AE41</f>
        <v>0.98430328741029549</v>
      </c>
      <c r="AE41" s="211">
        <v>1.1062421982651649</v>
      </c>
    </row>
    <row r="42" spans="2:35">
      <c r="B42" s="904"/>
      <c r="C42" s="212" t="s">
        <v>207</v>
      </c>
      <c r="D42" s="212">
        <v>175</v>
      </c>
      <c r="E42" s="240">
        <f t="shared" si="14"/>
        <v>21.28</v>
      </c>
      <c r="F42" s="268">
        <f t="shared" si="19"/>
        <v>346</v>
      </c>
      <c r="G42" s="251">
        <f t="shared" si="20"/>
        <v>92.910848549946294</v>
      </c>
      <c r="H42" s="264"/>
      <c r="I42" s="264"/>
      <c r="J42" s="264"/>
      <c r="K42" s="267">
        <f>$K$39*AD42</f>
        <v>346.29924627794804</v>
      </c>
      <c r="O42" s="904"/>
      <c r="P42" s="212" t="s">
        <v>207</v>
      </c>
      <c r="Q42" s="212">
        <v>350</v>
      </c>
      <c r="R42" s="240">
        <v>35.6</v>
      </c>
      <c r="S42" s="268">
        <f t="shared" ref="S42:S43" si="22">ROUNDDOWN(X42,0)</f>
        <v>1187</v>
      </c>
      <c r="T42" s="251">
        <f t="shared" si="21"/>
        <v>95.264847512038514</v>
      </c>
      <c r="U42" s="251"/>
      <c r="V42" s="240">
        <f>R12</f>
        <v>97.412860609534931</v>
      </c>
      <c r="W42" s="240">
        <f>S12</f>
        <v>89.501509701449493</v>
      </c>
      <c r="X42" s="241">
        <f>P12</f>
        <v>1187.1670574869656</v>
      </c>
      <c r="Y42" s="242">
        <f>X42/$X$39</f>
        <v>0.8842496536396357</v>
      </c>
      <c r="AB42" s="904"/>
      <c r="AC42" s="212" t="s">
        <v>199</v>
      </c>
      <c r="AD42" s="252">
        <f>AVERAGE(Y42,L55,Y60)</f>
        <v>0.88977195857643387</v>
      </c>
    </row>
    <row r="43" spans="2:35">
      <c r="B43" s="904"/>
      <c r="C43" s="212" t="s">
        <v>208</v>
      </c>
      <c r="D43" s="212">
        <v>175</v>
      </c>
      <c r="E43" s="240">
        <f t="shared" si="14"/>
        <v>21.28</v>
      </c>
      <c r="F43" s="268">
        <f t="shared" si="19"/>
        <v>330</v>
      </c>
      <c r="G43" s="251">
        <f t="shared" si="20"/>
        <v>88.614393125671313</v>
      </c>
      <c r="H43" s="264"/>
      <c r="I43" s="264"/>
      <c r="J43" s="264"/>
      <c r="K43" s="267">
        <f>$K$39*AD43</f>
        <v>330.09452360936103</v>
      </c>
      <c r="O43" s="904"/>
      <c r="P43" s="212" t="s">
        <v>208</v>
      </c>
      <c r="Q43" s="212">
        <v>350</v>
      </c>
      <c r="R43" s="240">
        <v>35.6</v>
      </c>
      <c r="S43" s="268">
        <f t="shared" si="22"/>
        <v>1130</v>
      </c>
      <c r="T43" s="251">
        <f t="shared" si="21"/>
        <v>90.690208667736755</v>
      </c>
      <c r="U43" s="251"/>
      <c r="V43" s="240">
        <f>R13</f>
        <v>96.517215821554757</v>
      </c>
      <c r="W43" s="240">
        <f>S13</f>
        <v>87.487573837820264</v>
      </c>
      <c r="X43" s="241">
        <f>P13</f>
        <v>1130.4835265341935</v>
      </c>
      <c r="Y43" s="242">
        <f t="shared" si="12"/>
        <v>0.8420294856388818</v>
      </c>
      <c r="AB43" s="904"/>
      <c r="AC43" s="212" t="s">
        <v>200</v>
      </c>
      <c r="AD43" s="252">
        <f>AVERAGE(Y43,L56,Y61)</f>
        <v>0.8481359804968166</v>
      </c>
    </row>
    <row r="44" spans="2:35">
      <c r="R44" s="247"/>
      <c r="X44" s="246"/>
      <c r="Y44" s="239"/>
      <c r="AB44" s="263"/>
      <c r="AC44" s="263"/>
      <c r="AD44" s="242"/>
    </row>
    <row r="45" spans="2:35">
      <c r="R45" s="247"/>
      <c r="X45" s="246"/>
      <c r="Y45" s="239"/>
      <c r="AB45" s="263"/>
      <c r="AC45" s="263"/>
      <c r="AD45" s="242"/>
      <c r="AI45" s="211">
        <v>700</v>
      </c>
    </row>
    <row r="46" spans="2:35">
      <c r="B46" s="211" t="s">
        <v>202</v>
      </c>
      <c r="O46" s="290" t="s">
        <v>260</v>
      </c>
      <c r="X46" s="246"/>
      <c r="Y46" s="239"/>
      <c r="AI46" s="211">
        <v>37.6</v>
      </c>
    </row>
    <row r="47" spans="2:35">
      <c r="B47" s="212" t="s">
        <v>181</v>
      </c>
      <c r="C47" s="212" t="s">
        <v>182</v>
      </c>
      <c r="D47" s="212" t="s">
        <v>222</v>
      </c>
      <c r="E47" s="212" t="s">
        <v>183</v>
      </c>
      <c r="F47" s="212" t="s">
        <v>184</v>
      </c>
      <c r="G47" s="212" t="s">
        <v>217</v>
      </c>
      <c r="H47" s="212" t="s">
        <v>185</v>
      </c>
      <c r="I47" s="212" t="s">
        <v>181</v>
      </c>
      <c r="J47" s="212" t="s">
        <v>186</v>
      </c>
      <c r="M47" s="238" t="s">
        <v>205</v>
      </c>
      <c r="O47" s="212" t="s">
        <v>181</v>
      </c>
      <c r="P47" s="212" t="s">
        <v>182</v>
      </c>
      <c r="Q47" s="212" t="s">
        <v>222</v>
      </c>
      <c r="R47" s="212" t="s">
        <v>183</v>
      </c>
      <c r="S47" s="212" t="s">
        <v>184</v>
      </c>
      <c r="T47" s="212" t="s">
        <v>217</v>
      </c>
      <c r="U47" s="212" t="s">
        <v>185</v>
      </c>
      <c r="V47" s="212" t="s">
        <v>181</v>
      </c>
      <c r="W47" s="212" t="s">
        <v>186</v>
      </c>
      <c r="X47" s="238"/>
      <c r="Z47" s="238" t="s">
        <v>205</v>
      </c>
      <c r="AB47" s="211" t="s">
        <v>255</v>
      </c>
      <c r="AD47" s="211" t="s">
        <v>256</v>
      </c>
      <c r="AF47" s="211" t="s">
        <v>257</v>
      </c>
      <c r="AG47" s="211" t="s">
        <v>259</v>
      </c>
      <c r="AH47" s="211" t="s">
        <v>257</v>
      </c>
      <c r="AI47" s="211" t="s">
        <v>258</v>
      </c>
    </row>
    <row r="48" spans="2:35">
      <c r="B48" s="904">
        <v>80</v>
      </c>
      <c r="C48" s="212" t="s">
        <v>201</v>
      </c>
      <c r="D48" s="212">
        <v>175</v>
      </c>
      <c r="E48" s="240">
        <v>35.6</v>
      </c>
      <c r="F48" s="268">
        <f>ROUNDDOWN(K48,0)</f>
        <v>810</v>
      </c>
      <c r="G48" s="251">
        <f>F48/(D48*E48/1000)</f>
        <v>130.01605136436595</v>
      </c>
      <c r="H48" s="251">
        <v>813</v>
      </c>
      <c r="I48" s="240">
        <f t="shared" ref="I48:J53" si="23">G17</f>
        <v>84.66</v>
      </c>
      <c r="J48" s="240">
        <f t="shared" si="23"/>
        <v>15.23</v>
      </c>
      <c r="K48" s="253">
        <f>E17*0.99</f>
        <v>810.25560000000007</v>
      </c>
      <c r="L48" s="243">
        <f t="shared" ref="L48:L56" si="24">K48/$K$52</f>
        <v>1.2274740190880171</v>
      </c>
      <c r="M48" s="242">
        <f t="shared" ref="M48:M53" si="25">F48/H48</f>
        <v>0.99630996309963105</v>
      </c>
      <c r="O48" s="904">
        <v>80</v>
      </c>
      <c r="P48" s="284" t="s">
        <v>247</v>
      </c>
      <c r="Q48" s="282">
        <v>700</v>
      </c>
      <c r="R48" s="240">
        <v>35.6</v>
      </c>
      <c r="S48" s="289">
        <f t="shared" ref="S48:S61" si="26">ROUNDDOWN(X48,0)</f>
        <v>3410</v>
      </c>
      <c r="T48" s="251">
        <f t="shared" ref="T48" si="27">S48/(Q48*R48/1000)</f>
        <v>136.83788121990369</v>
      </c>
      <c r="U48" s="251"/>
      <c r="V48" s="240">
        <v>84.221663626886453</v>
      </c>
      <c r="W48" s="240">
        <v>11.952354224617581</v>
      </c>
      <c r="X48" s="286">
        <f>P17</f>
        <v>3410.0854334160372</v>
      </c>
      <c r="Y48" s="242">
        <f t="shared" ref="Y48" si="28">X48/$X$56</f>
        <v>1.2496419493251874</v>
      </c>
      <c r="Z48" s="243" t="e">
        <f t="shared" ref="Z48" si="29">S48/U48</f>
        <v>#DIV/0!</v>
      </c>
      <c r="AB48" s="292">
        <v>3300</v>
      </c>
      <c r="AC48" s="211">
        <v>127</v>
      </c>
      <c r="AD48" s="211">
        <v>3232</v>
      </c>
      <c r="AE48" s="292">
        <f t="shared" ref="AE48:AE61" si="30">AD48/($AI$45*$AI$46/1000)</f>
        <v>122.79635258358662</v>
      </c>
      <c r="AF48" s="293">
        <f t="shared" ref="AF48:AF61" si="31">S48/AB48</f>
        <v>1.0333333333333334</v>
      </c>
      <c r="AG48" s="294">
        <f t="shared" ref="AG48:AG61" si="32">T48/AC48</f>
        <v>1.077463631652785</v>
      </c>
      <c r="AH48" s="293">
        <f t="shared" ref="AH48:AH61" si="33">S48/AD48</f>
        <v>1.0550742574257426</v>
      </c>
      <c r="AI48" s="294">
        <f t="shared" ref="AI48:AI61" si="34">T48/AE48</f>
        <v>1.1143480921125821</v>
      </c>
    </row>
    <row r="49" spans="2:35">
      <c r="B49" s="904"/>
      <c r="C49" s="212" t="s">
        <v>199</v>
      </c>
      <c r="D49" s="212">
        <v>175</v>
      </c>
      <c r="E49" s="240">
        <v>35.6</v>
      </c>
      <c r="F49" s="268">
        <f t="shared" ref="F49:F53" si="35">ROUNDDOWN(K49,0)</f>
        <v>771</v>
      </c>
      <c r="G49" s="251">
        <f t="shared" ref="G49:G53" si="36">F49/(D49*E49/1000)</f>
        <v>123.75601926163723</v>
      </c>
      <c r="H49" s="251">
        <v>780</v>
      </c>
      <c r="I49" s="240">
        <f t="shared" si="23"/>
        <v>82.88</v>
      </c>
      <c r="J49" s="240">
        <f t="shared" si="23"/>
        <v>6.55</v>
      </c>
      <c r="K49" s="253">
        <f>E18*0.98</f>
        <v>771.69120000000009</v>
      </c>
      <c r="L49" s="243">
        <f t="shared" si="24"/>
        <v>1.1690519618239661</v>
      </c>
      <c r="M49" s="242">
        <f t="shared" si="25"/>
        <v>0.9884615384615385</v>
      </c>
      <c r="O49" s="904"/>
      <c r="P49" s="212" t="s">
        <v>196</v>
      </c>
      <c r="Q49" s="212">
        <v>700</v>
      </c>
      <c r="R49" s="240">
        <v>35.6</v>
      </c>
      <c r="S49" s="268">
        <f t="shared" si="26"/>
        <v>3363</v>
      </c>
      <c r="T49" s="251">
        <f>S49/(Q49*R49/1000)</f>
        <v>134.95184590690207</v>
      </c>
      <c r="U49" s="251">
        <v>3350</v>
      </c>
      <c r="V49" s="240">
        <v>84.12</v>
      </c>
      <c r="W49" s="240">
        <v>12.68</v>
      </c>
      <c r="X49" s="286">
        <f>P18</f>
        <v>3363.34</v>
      </c>
      <c r="Y49" s="242">
        <f>X49/$X$56</f>
        <v>1.232511863972003</v>
      </c>
      <c r="Z49" s="243">
        <f>S49/U49</f>
        <v>1.0038805970149254</v>
      </c>
      <c r="AB49" s="292">
        <v>3315</v>
      </c>
      <c r="AC49" s="211">
        <v>126</v>
      </c>
      <c r="AD49" s="211">
        <v>3172</v>
      </c>
      <c r="AE49" s="292">
        <f t="shared" si="30"/>
        <v>120.51671732522796</v>
      </c>
      <c r="AF49" s="293">
        <f t="shared" si="31"/>
        <v>1.0144796380090497</v>
      </c>
      <c r="AG49" s="294">
        <f t="shared" si="32"/>
        <v>1.0710463960865244</v>
      </c>
      <c r="AH49" s="293">
        <f t="shared" si="33"/>
        <v>1.0602143757881464</v>
      </c>
      <c r="AI49" s="294">
        <f t="shared" si="34"/>
        <v>1.1197769811695026</v>
      </c>
    </row>
    <row r="50" spans="2:35">
      <c r="B50" s="904"/>
      <c r="C50" s="212" t="s">
        <v>200</v>
      </c>
      <c r="D50" s="212">
        <v>175</v>
      </c>
      <c r="E50" s="240">
        <v>35.6</v>
      </c>
      <c r="F50" s="268">
        <f t="shared" si="35"/>
        <v>745</v>
      </c>
      <c r="G50" s="251">
        <f t="shared" si="36"/>
        <v>119.58266452648475</v>
      </c>
      <c r="H50" s="251">
        <v>735</v>
      </c>
      <c r="I50" s="240">
        <f t="shared" si="23"/>
        <v>81.48</v>
      </c>
      <c r="J50" s="240">
        <f t="shared" si="23"/>
        <v>2.0499999999999998</v>
      </c>
      <c r="K50" s="253">
        <f>E19*0.98</f>
        <v>745.4076</v>
      </c>
      <c r="L50" s="243">
        <f t="shared" si="24"/>
        <v>1.1292343584305409</v>
      </c>
      <c r="M50" s="242">
        <f t="shared" si="25"/>
        <v>1.0136054421768708</v>
      </c>
      <c r="O50" s="904"/>
      <c r="P50" s="285" t="s">
        <v>248</v>
      </c>
      <c r="Q50" s="282">
        <v>700</v>
      </c>
      <c r="R50" s="240">
        <v>35.6</v>
      </c>
      <c r="S50" s="289">
        <f t="shared" si="26"/>
        <v>3325</v>
      </c>
      <c r="T50" s="251">
        <f t="shared" ref="T50:T61" si="37">S50/(Q50*R50/1000)</f>
        <v>133.42696629213484</v>
      </c>
      <c r="U50" s="251">
        <v>3297</v>
      </c>
      <c r="V50" s="240">
        <v>83.770479936283579</v>
      </c>
      <c r="W50" s="240">
        <v>9.8710725480912931</v>
      </c>
      <c r="X50" s="286">
        <f>P19</f>
        <v>3325.2025416782294</v>
      </c>
      <c r="Y50" s="242">
        <f t="shared" ref="Y50:Y61" si="38">X50/$X$56</f>
        <v>1.2185362118395036</v>
      </c>
      <c r="Z50" s="243">
        <f t="shared" ref="Z50:Z61" si="39">S50/U50</f>
        <v>1.0084925690021231</v>
      </c>
      <c r="AB50" s="292">
        <v>3247</v>
      </c>
      <c r="AC50" s="211">
        <v>123</v>
      </c>
      <c r="AD50" s="211">
        <v>3107</v>
      </c>
      <c r="AE50" s="292">
        <f t="shared" si="30"/>
        <v>118.04711246200608</v>
      </c>
      <c r="AF50" s="293">
        <f t="shared" si="31"/>
        <v>1.0240221743147522</v>
      </c>
      <c r="AG50" s="294">
        <f t="shared" si="32"/>
        <v>1.084772083675893</v>
      </c>
      <c r="AH50" s="293">
        <f t="shared" si="33"/>
        <v>1.0701641454779529</v>
      </c>
      <c r="AI50" s="294">
        <f t="shared" si="34"/>
        <v>1.1302857266845796</v>
      </c>
    </row>
    <row r="51" spans="2:35">
      <c r="B51" s="904">
        <v>90</v>
      </c>
      <c r="C51" s="212" t="s">
        <v>201</v>
      </c>
      <c r="D51" s="212">
        <v>175</v>
      </c>
      <c r="E51" s="240">
        <v>35.6</v>
      </c>
      <c r="F51" s="268">
        <f t="shared" si="35"/>
        <v>716</v>
      </c>
      <c r="G51" s="251">
        <f t="shared" si="36"/>
        <v>114.92776886035313</v>
      </c>
      <c r="H51" s="251">
        <v>696</v>
      </c>
      <c r="I51" s="240">
        <f t="shared" si="23"/>
        <v>92.16</v>
      </c>
      <c r="J51" s="240">
        <f t="shared" si="23"/>
        <v>57.54</v>
      </c>
      <c r="K51" s="253">
        <f>E20</f>
        <v>716.22</v>
      </c>
      <c r="L51" s="243">
        <f t="shared" si="24"/>
        <v>1.0850174216027875</v>
      </c>
      <c r="M51" s="242">
        <f t="shared" si="25"/>
        <v>1.0287356321839081</v>
      </c>
      <c r="O51" s="904"/>
      <c r="P51" s="282" t="s">
        <v>249</v>
      </c>
      <c r="Q51" s="282">
        <v>700</v>
      </c>
      <c r="R51" s="240">
        <v>35.6</v>
      </c>
      <c r="S51" s="268">
        <f t="shared" si="26"/>
        <v>3196</v>
      </c>
      <c r="T51" s="251">
        <f t="shared" si="37"/>
        <v>128.25040128410913</v>
      </c>
      <c r="U51" s="251">
        <v>3216</v>
      </c>
      <c r="V51" s="240">
        <v>82.84</v>
      </c>
      <c r="W51" s="240">
        <v>6.34</v>
      </c>
      <c r="X51" s="286">
        <f t="shared" ref="X51" si="40">P20*W20</f>
        <v>3196.2545999999998</v>
      </c>
      <c r="Y51" s="242">
        <f t="shared" si="38"/>
        <v>1.1712826282133499</v>
      </c>
      <c r="Z51" s="243">
        <f t="shared" si="39"/>
        <v>0.99378109452736318</v>
      </c>
      <c r="AB51" s="292">
        <v>3133</v>
      </c>
      <c r="AC51" s="211">
        <v>119</v>
      </c>
      <c r="AD51" s="211">
        <v>3042</v>
      </c>
      <c r="AE51" s="292">
        <f t="shared" si="30"/>
        <v>115.57750759878419</v>
      </c>
      <c r="AF51" s="293">
        <f t="shared" si="31"/>
        <v>1.0201085221832109</v>
      </c>
      <c r="AG51" s="294">
        <f t="shared" si="32"/>
        <v>1.0777344645723457</v>
      </c>
      <c r="AH51" s="293">
        <f t="shared" si="33"/>
        <v>1.0506245890861277</v>
      </c>
      <c r="AI51" s="294">
        <f t="shared" si="34"/>
        <v>1.1096484424055728</v>
      </c>
    </row>
    <row r="52" spans="2:35">
      <c r="B52" s="904"/>
      <c r="C52" s="212" t="s">
        <v>223</v>
      </c>
      <c r="D52" s="212">
        <v>175</v>
      </c>
      <c r="E52" s="240">
        <v>35.6</v>
      </c>
      <c r="F52" s="268">
        <f t="shared" si="35"/>
        <v>660</v>
      </c>
      <c r="G52" s="251">
        <f t="shared" si="36"/>
        <v>105.93900481540931</v>
      </c>
      <c r="H52" s="251">
        <v>650</v>
      </c>
      <c r="I52" s="240">
        <f t="shared" si="23"/>
        <v>93.82</v>
      </c>
      <c r="J52" s="240">
        <f t="shared" si="23"/>
        <v>58.94</v>
      </c>
      <c r="K52" s="253">
        <f>E21</f>
        <v>660.1</v>
      </c>
      <c r="L52" s="243">
        <f t="shared" si="24"/>
        <v>1</v>
      </c>
      <c r="M52" s="242">
        <f t="shared" si="25"/>
        <v>1.0153846153846153</v>
      </c>
      <c r="O52" s="904"/>
      <c r="P52" s="282" t="s">
        <v>250</v>
      </c>
      <c r="Q52" s="282">
        <v>700</v>
      </c>
      <c r="R52" s="240">
        <v>35.6</v>
      </c>
      <c r="S52" s="268">
        <f t="shared" si="26"/>
        <v>3094</v>
      </c>
      <c r="T52" s="251">
        <f t="shared" si="37"/>
        <v>124.15730337078651</v>
      </c>
      <c r="U52" s="251">
        <v>3029</v>
      </c>
      <c r="V52" s="240">
        <v>81.53</v>
      </c>
      <c r="W52" s="240">
        <v>1.8</v>
      </c>
      <c r="X52" s="286">
        <f>P21*W21*X21</f>
        <v>3094.9891829999997</v>
      </c>
      <c r="Y52" s="242">
        <f t="shared" si="38"/>
        <v>1.1341734367957197</v>
      </c>
      <c r="Z52" s="243">
        <f t="shared" si="39"/>
        <v>1.0214592274678111</v>
      </c>
      <c r="AB52" s="292">
        <v>3021</v>
      </c>
      <c r="AC52" s="211">
        <v>115</v>
      </c>
      <c r="AD52" s="211">
        <v>2877</v>
      </c>
      <c r="AE52" s="292">
        <f t="shared" si="30"/>
        <v>109.30851063829788</v>
      </c>
      <c r="AF52" s="293">
        <f t="shared" si="31"/>
        <v>1.0241641840450182</v>
      </c>
      <c r="AG52" s="294">
        <f t="shared" si="32"/>
        <v>1.0796287249633609</v>
      </c>
      <c r="AH52" s="293">
        <f t="shared" si="33"/>
        <v>1.0754257907542579</v>
      </c>
      <c r="AI52" s="294">
        <f t="shared" si="34"/>
        <v>1.1358429700101149</v>
      </c>
    </row>
    <row r="53" spans="2:35">
      <c r="B53" s="904"/>
      <c r="C53" s="212" t="s">
        <v>224</v>
      </c>
      <c r="D53" s="212">
        <v>175</v>
      </c>
      <c r="E53" s="240">
        <v>35.6</v>
      </c>
      <c r="F53" s="268">
        <f t="shared" si="35"/>
        <v>625</v>
      </c>
      <c r="G53" s="251">
        <f t="shared" si="36"/>
        <v>100.32102728731941</v>
      </c>
      <c r="H53" s="251">
        <v>624</v>
      </c>
      <c r="I53" s="240">
        <f t="shared" si="23"/>
        <v>94.46</v>
      </c>
      <c r="J53" s="240">
        <f t="shared" si="23"/>
        <v>59.39</v>
      </c>
      <c r="K53" s="253">
        <f>E22</f>
        <v>625.77</v>
      </c>
      <c r="L53" s="243">
        <f t="shared" si="24"/>
        <v>0.94799272837448867</v>
      </c>
      <c r="M53" s="242">
        <f t="shared" si="25"/>
        <v>1.0016025641025641</v>
      </c>
      <c r="O53" s="904">
        <v>90</v>
      </c>
      <c r="P53" s="285" t="s">
        <v>247</v>
      </c>
      <c r="Q53" s="282">
        <v>700</v>
      </c>
      <c r="R53" s="240">
        <v>35.6</v>
      </c>
      <c r="S53" s="289">
        <f t="shared" si="26"/>
        <v>2969</v>
      </c>
      <c r="T53" s="251">
        <f t="shared" si="37"/>
        <v>119.14125200642054</v>
      </c>
      <c r="U53" s="251"/>
      <c r="V53" s="240">
        <v>92.237340828447486</v>
      </c>
      <c r="W53" s="240">
        <v>58.913783694464655</v>
      </c>
      <c r="X53" s="266">
        <f>P22*X22</f>
        <v>2969.3595216989984</v>
      </c>
      <c r="Y53" s="242">
        <f t="shared" si="38"/>
        <v>1.0881358527214755</v>
      </c>
      <c r="Z53" s="243" t="e">
        <f t="shared" si="39"/>
        <v>#DIV/0!</v>
      </c>
      <c r="AB53" s="292"/>
      <c r="AD53" s="211">
        <v>2722</v>
      </c>
      <c r="AE53" s="292">
        <f t="shared" si="30"/>
        <v>103.41945288753799</v>
      </c>
      <c r="AF53" s="293" t="e">
        <f t="shared" si="31"/>
        <v>#DIV/0!</v>
      </c>
      <c r="AG53" s="294" t="e">
        <f t="shared" si="32"/>
        <v>#DIV/0!</v>
      </c>
      <c r="AH53" s="293">
        <f t="shared" si="33"/>
        <v>1.0907421013960323</v>
      </c>
      <c r="AI53" s="294">
        <f t="shared" si="34"/>
        <v>1.152019747541877</v>
      </c>
    </row>
    <row r="54" spans="2:35">
      <c r="B54" s="904">
        <v>97</v>
      </c>
      <c r="C54" s="212" t="s">
        <v>206</v>
      </c>
      <c r="D54" s="212">
        <v>175</v>
      </c>
      <c r="E54" s="240">
        <v>35.6</v>
      </c>
      <c r="F54" s="268">
        <f t="shared" ref="F54:F56" si="41">ROUNDDOWN(K54,0)</f>
        <v>649</v>
      </c>
      <c r="G54" s="251">
        <f t="shared" ref="G54:G56" si="42">F54/(D54*E54/1000)</f>
        <v>104.17335473515249</v>
      </c>
      <c r="H54" s="251"/>
      <c r="I54" s="240"/>
      <c r="J54" s="240"/>
      <c r="K54" s="266">
        <f>K52*$AD$41</f>
        <v>649.73860001953608</v>
      </c>
      <c r="L54" s="243">
        <f t="shared" si="24"/>
        <v>0.98430328741029549</v>
      </c>
      <c r="O54" s="904"/>
      <c r="P54" s="282" t="s">
        <v>251</v>
      </c>
      <c r="Q54" s="282">
        <v>700</v>
      </c>
      <c r="R54" s="240">
        <v>35.6</v>
      </c>
      <c r="S54" s="268">
        <f t="shared" si="26"/>
        <v>2920</v>
      </c>
      <c r="T54" s="251">
        <f t="shared" si="37"/>
        <v>117.17495987158908</v>
      </c>
      <c r="U54" s="251">
        <v>2868</v>
      </c>
      <c r="V54" s="240">
        <v>93.88</v>
      </c>
      <c r="W54" s="240">
        <v>63.85</v>
      </c>
      <c r="X54" s="241">
        <f t="shared" ref="X54:X57" si="43">P23</f>
        <v>2920.83</v>
      </c>
      <c r="Y54" s="242">
        <f t="shared" si="38"/>
        <v>1.0703519797716987</v>
      </c>
      <c r="Z54" s="243">
        <f t="shared" si="39"/>
        <v>1.0181311018131103</v>
      </c>
      <c r="AB54" s="292">
        <v>2750</v>
      </c>
      <c r="AC54" s="211">
        <v>104</v>
      </c>
      <c r="AD54" s="211">
        <v>2671</v>
      </c>
      <c r="AE54" s="292">
        <f t="shared" si="30"/>
        <v>101.48176291793312</v>
      </c>
      <c r="AF54" s="293">
        <f t="shared" si="31"/>
        <v>1.0618181818181818</v>
      </c>
      <c r="AG54" s="294">
        <f t="shared" si="32"/>
        <v>1.1266823064575873</v>
      </c>
      <c r="AH54" s="293">
        <f t="shared" si="33"/>
        <v>1.0932235117933358</v>
      </c>
      <c r="AI54" s="294">
        <f t="shared" si="34"/>
        <v>1.1546405630176806</v>
      </c>
    </row>
    <row r="55" spans="2:35">
      <c r="B55" s="904"/>
      <c r="C55" s="212" t="s">
        <v>207</v>
      </c>
      <c r="D55" s="212">
        <v>175</v>
      </c>
      <c r="E55" s="240">
        <v>35.6</v>
      </c>
      <c r="F55" s="268">
        <f t="shared" si="41"/>
        <v>586</v>
      </c>
      <c r="G55" s="251">
        <f t="shared" si="42"/>
        <v>94.060995184590681</v>
      </c>
      <c r="H55" s="251"/>
      <c r="I55" s="240">
        <f>G24</f>
        <v>97.675708323579642</v>
      </c>
      <c r="J55" s="240">
        <f>H24</f>
        <v>89.00569196817122</v>
      </c>
      <c r="K55" s="253">
        <f t="shared" ref="K55:K56" si="44">E24</f>
        <v>586.62250225407638</v>
      </c>
      <c r="L55" s="243">
        <f t="shared" si="24"/>
        <v>0.88868732351776447</v>
      </c>
      <c r="O55" s="904"/>
      <c r="P55" s="284" t="s">
        <v>248</v>
      </c>
      <c r="Q55" s="282">
        <v>700</v>
      </c>
      <c r="R55" s="240">
        <v>35.6</v>
      </c>
      <c r="S55" s="289">
        <f t="shared" si="26"/>
        <v>2850</v>
      </c>
      <c r="T55" s="251">
        <f t="shared" si="37"/>
        <v>114.36597110754413</v>
      </c>
      <c r="U55" s="251">
        <v>2761</v>
      </c>
      <c r="V55" s="240">
        <v>93.224936909791651</v>
      </c>
      <c r="W55" s="240">
        <v>57.992813080397433</v>
      </c>
      <c r="X55" s="266">
        <f>P24*X24</f>
        <v>2850.7229036284416</v>
      </c>
      <c r="Y55" s="242">
        <f t="shared" si="38"/>
        <v>1.0446609024418498</v>
      </c>
      <c r="Z55" s="243">
        <f t="shared" si="39"/>
        <v>1.032234697573343</v>
      </c>
      <c r="AB55" s="292">
        <v>2680</v>
      </c>
      <c r="AC55" s="211">
        <v>102</v>
      </c>
      <c r="AD55" s="211">
        <v>2616</v>
      </c>
      <c r="AE55" s="292">
        <f t="shared" si="30"/>
        <v>99.392097264437695</v>
      </c>
      <c r="AF55" s="293">
        <f t="shared" si="31"/>
        <v>1.0634328358208955</v>
      </c>
      <c r="AG55" s="294">
        <f t="shared" si="32"/>
        <v>1.1212350108582758</v>
      </c>
      <c r="AH55" s="293">
        <f t="shared" si="33"/>
        <v>1.0894495412844036</v>
      </c>
      <c r="AI55" s="294">
        <f t="shared" si="34"/>
        <v>1.1506545716936396</v>
      </c>
    </row>
    <row r="56" spans="2:35">
      <c r="B56" s="904"/>
      <c r="C56" s="212" t="s">
        <v>208</v>
      </c>
      <c r="D56" s="212">
        <v>175</v>
      </c>
      <c r="E56" s="240">
        <v>35.6</v>
      </c>
      <c r="F56" s="268">
        <f t="shared" si="41"/>
        <v>562</v>
      </c>
      <c r="G56" s="251">
        <f t="shared" si="42"/>
        <v>90.208667736757619</v>
      </c>
      <c r="H56" s="251"/>
      <c r="I56" s="240">
        <f>G25</f>
        <v>97.01542965096732</v>
      </c>
      <c r="J56" s="240">
        <f>H25</f>
        <v>87.192926671728188</v>
      </c>
      <c r="K56" s="253">
        <f t="shared" si="44"/>
        <v>562.65067889417594</v>
      </c>
      <c r="L56" s="243">
        <f t="shared" si="24"/>
        <v>0.85237188137278586</v>
      </c>
      <c r="O56" s="904"/>
      <c r="P56" s="282" t="s">
        <v>249</v>
      </c>
      <c r="Q56" s="282">
        <v>700</v>
      </c>
      <c r="R56" s="240">
        <v>35.6</v>
      </c>
      <c r="S56" s="268">
        <f t="shared" si="26"/>
        <v>2728</v>
      </c>
      <c r="T56" s="251">
        <f t="shared" si="37"/>
        <v>109.47030497592294</v>
      </c>
      <c r="U56" s="251">
        <v>2680</v>
      </c>
      <c r="V56" s="240">
        <v>93.83</v>
      </c>
      <c r="W56" s="240">
        <v>56.35</v>
      </c>
      <c r="X56" s="241">
        <f t="shared" si="43"/>
        <v>2728.85</v>
      </c>
      <c r="Y56" s="242">
        <f t="shared" si="38"/>
        <v>1</v>
      </c>
      <c r="Z56" s="243">
        <f t="shared" si="39"/>
        <v>1.017910447761194</v>
      </c>
      <c r="AB56" s="292">
        <v>2539</v>
      </c>
      <c r="AC56" s="211">
        <v>96</v>
      </c>
      <c r="AD56" s="211">
        <v>2565</v>
      </c>
      <c r="AE56" s="292">
        <f t="shared" si="30"/>
        <v>97.454407294832819</v>
      </c>
      <c r="AF56" s="293">
        <f t="shared" si="31"/>
        <v>1.0744387554155179</v>
      </c>
      <c r="AG56" s="294">
        <f t="shared" si="32"/>
        <v>1.1403156768325307</v>
      </c>
      <c r="AH56" s="293">
        <f t="shared" si="33"/>
        <v>1.0635477582846005</v>
      </c>
      <c r="AI56" s="294">
        <f t="shared" si="34"/>
        <v>1.123297632345533</v>
      </c>
    </row>
    <row r="57" spans="2:35">
      <c r="O57" s="904"/>
      <c r="P57" s="282" t="s">
        <v>250</v>
      </c>
      <c r="Q57" s="282">
        <v>700</v>
      </c>
      <c r="R57" s="240">
        <v>35.6</v>
      </c>
      <c r="S57" s="268">
        <f t="shared" si="26"/>
        <v>2560</v>
      </c>
      <c r="T57" s="251">
        <f t="shared" si="37"/>
        <v>102.72873194221508</v>
      </c>
      <c r="U57" s="251">
        <v>2573</v>
      </c>
      <c r="V57" s="240">
        <v>94.19</v>
      </c>
      <c r="W57" s="240">
        <v>58.24</v>
      </c>
      <c r="X57" s="241">
        <f t="shared" si="43"/>
        <v>2560.88</v>
      </c>
      <c r="Y57" s="242">
        <f t="shared" si="38"/>
        <v>0.93844659838393474</v>
      </c>
      <c r="Z57" s="243">
        <f t="shared" si="39"/>
        <v>0.99494753206373887</v>
      </c>
      <c r="AB57" s="292">
        <v>2414</v>
      </c>
      <c r="AC57" s="211">
        <v>92</v>
      </c>
      <c r="AD57" s="211">
        <v>2425</v>
      </c>
      <c r="AE57" s="292">
        <f t="shared" si="30"/>
        <v>92.135258358662611</v>
      </c>
      <c r="AF57" s="293">
        <f t="shared" si="31"/>
        <v>1.0604805302402651</v>
      </c>
      <c r="AG57" s="294">
        <f t="shared" si="32"/>
        <v>1.116616651545816</v>
      </c>
      <c r="AH57" s="293">
        <f t="shared" si="33"/>
        <v>1.0556701030927835</v>
      </c>
      <c r="AI57" s="294">
        <f t="shared" si="34"/>
        <v>1.1149774122552993</v>
      </c>
    </row>
    <row r="58" spans="2:35">
      <c r="O58" s="904"/>
      <c r="P58" s="285" t="s">
        <v>252</v>
      </c>
      <c r="Q58" s="282">
        <v>700</v>
      </c>
      <c r="R58" s="240">
        <v>35.6</v>
      </c>
      <c r="S58" s="289">
        <f t="shared" si="26"/>
        <v>2399</v>
      </c>
      <c r="T58" s="251">
        <f t="shared" si="37"/>
        <v>96.268057784911704</v>
      </c>
      <c r="U58" s="251"/>
      <c r="V58" s="240">
        <v>93.312668540445486</v>
      </c>
      <c r="W58" s="240">
        <v>54.521926358068363</v>
      </c>
      <c r="X58" s="266">
        <f>P27*X27</f>
        <v>2399.7596653270562</v>
      </c>
      <c r="Y58" s="242">
        <f t="shared" si="38"/>
        <v>0.87940328905108611</v>
      </c>
      <c r="Z58" s="243" t="e">
        <f t="shared" si="39"/>
        <v>#DIV/0!</v>
      </c>
      <c r="AD58" s="211">
        <v>2255</v>
      </c>
      <c r="AE58" s="292">
        <f t="shared" si="30"/>
        <v>85.676291793313069</v>
      </c>
      <c r="AF58" s="293" t="e">
        <f t="shared" si="31"/>
        <v>#DIV/0!</v>
      </c>
      <c r="AG58" s="294" t="e">
        <f t="shared" si="32"/>
        <v>#DIV/0!</v>
      </c>
      <c r="AH58" s="293">
        <f t="shared" si="33"/>
        <v>1.0638580931263859</v>
      </c>
      <c r="AI58" s="294">
        <f t="shared" si="34"/>
        <v>1.1236254017289915</v>
      </c>
    </row>
    <row r="59" spans="2:35">
      <c r="O59" s="904">
        <v>97</v>
      </c>
      <c r="P59" s="282" t="s">
        <v>251</v>
      </c>
      <c r="Q59" s="282">
        <v>700</v>
      </c>
      <c r="R59" s="240">
        <v>35.6</v>
      </c>
      <c r="S59" s="268">
        <f t="shared" si="26"/>
        <v>2686</v>
      </c>
      <c r="T59" s="251">
        <f t="shared" si="37"/>
        <v>107.78491171749597</v>
      </c>
      <c r="U59" s="251"/>
      <c r="V59" s="240"/>
      <c r="W59" s="240"/>
      <c r="X59" s="266">
        <f>X56*$AD$41</f>
        <v>2686.0160258495848</v>
      </c>
      <c r="Y59" s="242">
        <f t="shared" si="38"/>
        <v>0.98430328741029549</v>
      </c>
      <c r="Z59" s="243" t="e">
        <f t="shared" si="39"/>
        <v>#DIV/0!</v>
      </c>
      <c r="AD59" s="211">
        <v>2379</v>
      </c>
      <c r="AE59" s="292">
        <f t="shared" si="30"/>
        <v>90.387537993920972</v>
      </c>
      <c r="AF59" s="293" t="e">
        <f t="shared" si="31"/>
        <v>#DIV/0!</v>
      </c>
      <c r="AG59" s="294" t="e">
        <f t="shared" si="32"/>
        <v>#DIV/0!</v>
      </c>
      <c r="AH59" s="293">
        <f t="shared" si="33"/>
        <v>1.1290458175704077</v>
      </c>
      <c r="AI59" s="294">
        <f t="shared" si="34"/>
        <v>1.1924753578833518</v>
      </c>
    </row>
    <row r="60" spans="2:35">
      <c r="O60" s="904"/>
      <c r="P60" s="282" t="s">
        <v>249</v>
      </c>
      <c r="Q60" s="282">
        <v>700</v>
      </c>
      <c r="R60" s="240">
        <v>35.6</v>
      </c>
      <c r="S60" s="268">
        <f t="shared" si="26"/>
        <v>2446</v>
      </c>
      <c r="T60" s="251">
        <f t="shared" si="37"/>
        <v>98.154093097913318</v>
      </c>
      <c r="U60" s="251"/>
      <c r="V60" s="240">
        <v>98.16515912702333</v>
      </c>
      <c r="W60" s="240">
        <v>89.320201868266707</v>
      </c>
      <c r="X60" s="241">
        <f>P29</f>
        <v>2446.0835573679328</v>
      </c>
      <c r="Y60" s="242">
        <f t="shared" si="38"/>
        <v>0.89637889857190134</v>
      </c>
      <c r="Z60" s="243" t="e">
        <f t="shared" si="39"/>
        <v>#DIV/0!</v>
      </c>
      <c r="AD60" s="211">
        <v>2282</v>
      </c>
      <c r="AE60" s="292">
        <f t="shared" si="30"/>
        <v>86.702127659574472</v>
      </c>
      <c r="AF60" s="293" t="e">
        <f t="shared" si="31"/>
        <v>#DIV/0!</v>
      </c>
      <c r="AG60" s="294" t="e">
        <f t="shared" si="32"/>
        <v>#DIV/0!</v>
      </c>
      <c r="AH60" s="293">
        <f t="shared" si="33"/>
        <v>1.0718667835232252</v>
      </c>
      <c r="AI60" s="294">
        <f t="shared" si="34"/>
        <v>1.1320840185526198</v>
      </c>
    </row>
    <row r="61" spans="2:35">
      <c r="O61" s="904"/>
      <c r="P61" s="282" t="s">
        <v>250</v>
      </c>
      <c r="Q61" s="282">
        <v>700</v>
      </c>
      <c r="R61" s="240">
        <v>35.6</v>
      </c>
      <c r="S61" s="268">
        <f t="shared" si="26"/>
        <v>2319</v>
      </c>
      <c r="T61" s="251">
        <f t="shared" si="37"/>
        <v>93.057784911717491</v>
      </c>
      <c r="U61" s="251"/>
      <c r="V61" s="240">
        <v>97.162921371870695</v>
      </c>
      <c r="W61" s="240">
        <v>88.249243397269879</v>
      </c>
      <c r="X61" s="241">
        <f>P30</f>
        <v>2319.5404407664237</v>
      </c>
      <c r="Y61" s="242">
        <f t="shared" si="38"/>
        <v>0.85000657447878181</v>
      </c>
      <c r="Z61" s="243" t="e">
        <f t="shared" si="39"/>
        <v>#DIV/0!</v>
      </c>
      <c r="AD61" s="211">
        <v>2158</v>
      </c>
      <c r="AE61" s="292">
        <f t="shared" si="30"/>
        <v>81.99088145896657</v>
      </c>
      <c r="AF61" s="293" t="e">
        <f t="shared" si="31"/>
        <v>#DIV/0!</v>
      </c>
      <c r="AG61" s="294" t="e">
        <f t="shared" si="32"/>
        <v>#DIV/0!</v>
      </c>
      <c r="AH61" s="293">
        <f t="shared" si="33"/>
        <v>1.0746061167747916</v>
      </c>
      <c r="AI61" s="294">
        <f t="shared" si="34"/>
        <v>1.1349772469306785</v>
      </c>
    </row>
  </sheetData>
  <sheetProtection password="A7EA" sheet="1" objects="1" scenarios="1"/>
  <mergeCells count="27">
    <mergeCell ref="O59:O61"/>
    <mergeCell ref="B5:B7"/>
    <mergeCell ref="M5:M7"/>
    <mergeCell ref="B8:B10"/>
    <mergeCell ref="M8:M10"/>
    <mergeCell ref="B17:B19"/>
    <mergeCell ref="M11:M13"/>
    <mergeCell ref="B11:B13"/>
    <mergeCell ref="M17:M21"/>
    <mergeCell ref="O35:O37"/>
    <mergeCell ref="B20:B22"/>
    <mergeCell ref="AB35:AB37"/>
    <mergeCell ref="B38:B40"/>
    <mergeCell ref="O38:O40"/>
    <mergeCell ref="AB38:AB40"/>
    <mergeCell ref="B23:B25"/>
    <mergeCell ref="M28:M30"/>
    <mergeCell ref="B35:B37"/>
    <mergeCell ref="M22:M27"/>
    <mergeCell ref="AB41:AB43"/>
    <mergeCell ref="B41:B43"/>
    <mergeCell ref="O41:O43"/>
    <mergeCell ref="B54:B56"/>
    <mergeCell ref="B48:B50"/>
    <mergeCell ref="B51:B53"/>
    <mergeCell ref="O48:O52"/>
    <mergeCell ref="O53:O58"/>
  </mergeCells>
  <phoneticPr fontId="7"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2:AI61"/>
  <sheetViews>
    <sheetView topLeftCell="A31" zoomScale="60" zoomScaleNormal="60" workbookViewId="0">
      <selection activeCell="R43" sqref="R43"/>
    </sheetView>
  </sheetViews>
  <sheetFormatPr defaultRowHeight="18.75"/>
  <cols>
    <col min="1" max="1" width="9" style="211" customWidth="1"/>
    <col min="2" max="10" width="9" style="211"/>
    <col min="11" max="11" width="11.75" style="211" bestFit="1" customWidth="1"/>
    <col min="12" max="12" width="9.875" style="211" customWidth="1"/>
    <col min="13" max="14" width="9" style="211"/>
    <col min="15" max="15" width="9.125" style="211" bestFit="1" customWidth="1"/>
    <col min="16" max="16" width="10.25" style="211" bestFit="1" customWidth="1"/>
    <col min="17" max="17" width="9" style="211"/>
    <col min="18" max="19" width="9.125" style="211" bestFit="1" customWidth="1"/>
    <col min="20" max="21" width="9" style="211"/>
    <col min="22" max="22" width="11.75" style="211" bestFit="1" customWidth="1"/>
    <col min="23" max="16384" width="9" style="211"/>
  </cols>
  <sheetData>
    <row r="2" spans="2:26">
      <c r="P2" s="297"/>
      <c r="Y2" s="298"/>
    </row>
    <row r="3" spans="2:26">
      <c r="B3" s="211" t="s">
        <v>179</v>
      </c>
      <c r="M3" s="211" t="s">
        <v>180</v>
      </c>
    </row>
    <row r="4" spans="2:26">
      <c r="B4" s="316" t="s">
        <v>181</v>
      </c>
      <c r="C4" s="316" t="s">
        <v>182</v>
      </c>
      <c r="D4" s="316" t="s">
        <v>183</v>
      </c>
      <c r="E4" s="316" t="s">
        <v>184</v>
      </c>
      <c r="F4" s="316" t="s">
        <v>185</v>
      </c>
      <c r="G4" s="316" t="s">
        <v>181</v>
      </c>
      <c r="H4" s="316" t="s">
        <v>186</v>
      </c>
      <c r="I4" s="237" t="s">
        <v>187</v>
      </c>
      <c r="J4" s="238" t="s">
        <v>188</v>
      </c>
      <c r="K4" s="238" t="s">
        <v>189</v>
      </c>
      <c r="L4" s="239"/>
      <c r="M4" s="316" t="s">
        <v>181</v>
      </c>
      <c r="N4" s="316" t="s">
        <v>182</v>
      </c>
      <c r="O4" s="316" t="s">
        <v>183</v>
      </c>
      <c r="P4" s="316" t="s">
        <v>184</v>
      </c>
      <c r="Q4" s="316" t="s">
        <v>185</v>
      </c>
      <c r="R4" s="316" t="s">
        <v>181</v>
      </c>
      <c r="S4" s="316" t="s">
        <v>186</v>
      </c>
      <c r="T4" s="237" t="s">
        <v>187</v>
      </c>
      <c r="U4" s="238" t="s">
        <v>188</v>
      </c>
      <c r="V4" s="238" t="s">
        <v>189</v>
      </c>
    </row>
    <row r="5" spans="2:26">
      <c r="B5" s="904">
        <v>80</v>
      </c>
      <c r="C5" s="316" t="s">
        <v>196</v>
      </c>
      <c r="D5" s="240">
        <f>$D$9</f>
        <v>21.28</v>
      </c>
      <c r="E5" s="240">
        <f>$E$9*AD35</f>
        <v>481.05488803652213</v>
      </c>
      <c r="F5" s="240"/>
      <c r="G5" s="240"/>
      <c r="H5" s="240"/>
      <c r="I5" s="241"/>
      <c r="J5" s="242">
        <f t="shared" ref="J5:J8" si="0">E5/$E$9</f>
        <v>1.2360094759417322</v>
      </c>
      <c r="K5" s="242"/>
      <c r="M5" s="904">
        <v>80</v>
      </c>
      <c r="N5" s="316" t="s">
        <v>196</v>
      </c>
      <c r="O5" s="240">
        <v>35.487000000000002</v>
      </c>
      <c r="P5" s="240">
        <v>1658.87</v>
      </c>
      <c r="Q5" s="240">
        <v>1638</v>
      </c>
      <c r="R5" s="240">
        <v>84.48</v>
      </c>
      <c r="S5" s="240">
        <v>14.31</v>
      </c>
      <c r="T5" s="241">
        <v>32</v>
      </c>
      <c r="U5" s="242">
        <f t="shared" ref="U5:U8" si="1">P5/$P$9</f>
        <v>1.2355929299775803</v>
      </c>
      <c r="V5" s="243">
        <f>P5/Q5</f>
        <v>1.0127411477411477</v>
      </c>
    </row>
    <row r="6" spans="2:26">
      <c r="B6" s="904"/>
      <c r="C6" s="316" t="s">
        <v>198</v>
      </c>
      <c r="D6" s="240">
        <f t="shared" ref="D6:D8" si="2">$D$9</f>
        <v>21.28</v>
      </c>
      <c r="E6" s="240">
        <f>$E$9*AD36</f>
        <v>457.49776203599379</v>
      </c>
      <c r="F6" s="240"/>
      <c r="G6" s="240"/>
      <c r="H6" s="240"/>
      <c r="I6" s="241"/>
      <c r="J6" s="242">
        <f t="shared" si="0"/>
        <v>1.1754824307194085</v>
      </c>
      <c r="K6" s="242"/>
      <c r="L6" s="244">
        <v>-0.01</v>
      </c>
      <c r="M6" s="904"/>
      <c r="N6" s="316" t="s">
        <v>198</v>
      </c>
      <c r="O6" s="240">
        <v>35.417000000000002</v>
      </c>
      <c r="P6" s="240">
        <v>1592.48</v>
      </c>
      <c r="Q6" s="240">
        <v>1572</v>
      </c>
      <c r="R6" s="240">
        <v>82.71</v>
      </c>
      <c r="S6" s="240">
        <v>5.81</v>
      </c>
      <c r="T6" s="241">
        <v>31</v>
      </c>
      <c r="U6" s="242">
        <f t="shared" si="1"/>
        <v>1.1861429944062507</v>
      </c>
      <c r="V6" s="243">
        <f t="shared" ref="V6:V10" si="3">P6/Q6</f>
        <v>1.013027989821883</v>
      </c>
      <c r="W6" s="244">
        <v>-0.01</v>
      </c>
    </row>
    <row r="7" spans="2:26">
      <c r="B7" s="904"/>
      <c r="C7" s="316" t="s">
        <v>200</v>
      </c>
      <c r="D7" s="240">
        <f t="shared" si="2"/>
        <v>21.28</v>
      </c>
      <c r="E7" s="240">
        <f>$E$9*AD37</f>
        <v>441.08963846746462</v>
      </c>
      <c r="F7" s="240"/>
      <c r="G7" s="240"/>
      <c r="H7" s="240"/>
      <c r="I7" s="241"/>
      <c r="J7" s="242">
        <f t="shared" si="0"/>
        <v>1.1333238398444621</v>
      </c>
      <c r="K7" s="242"/>
      <c r="L7" s="244">
        <v>-0.01</v>
      </c>
      <c r="M7" s="904"/>
      <c r="N7" s="316" t="s">
        <v>200</v>
      </c>
      <c r="O7" s="240">
        <v>35.631999999999998</v>
      </c>
      <c r="P7" s="240">
        <v>1533.64</v>
      </c>
      <c r="Q7" s="240">
        <v>1480</v>
      </c>
      <c r="R7" s="240">
        <v>81.44</v>
      </c>
      <c r="S7" s="240">
        <v>1.83</v>
      </c>
      <c r="T7" s="241">
        <v>32</v>
      </c>
      <c r="U7" s="242">
        <f t="shared" si="1"/>
        <v>1.1423166017414363</v>
      </c>
      <c r="V7" s="243">
        <f t="shared" si="3"/>
        <v>1.0362432432432434</v>
      </c>
      <c r="W7" s="244">
        <v>-0.01</v>
      </c>
    </row>
    <row r="8" spans="2:26">
      <c r="B8" s="904">
        <v>90</v>
      </c>
      <c r="C8" s="316" t="s">
        <v>196</v>
      </c>
      <c r="D8" s="240">
        <f t="shared" si="2"/>
        <v>21.28</v>
      </c>
      <c r="E8" s="240">
        <f>$E$9*AD38</f>
        <v>417.30059127184967</v>
      </c>
      <c r="F8" s="240"/>
      <c r="G8" s="240"/>
      <c r="H8" s="240"/>
      <c r="I8" s="241"/>
      <c r="J8" s="242">
        <f t="shared" si="0"/>
        <v>1.0722009025484318</v>
      </c>
      <c r="K8" s="242"/>
      <c r="M8" s="904">
        <v>90</v>
      </c>
      <c r="N8" s="316" t="s">
        <v>196</v>
      </c>
      <c r="O8" s="240">
        <v>35.499000000000002</v>
      </c>
      <c r="P8" s="240">
        <v>1424.78</v>
      </c>
      <c r="Q8" s="240">
        <v>1402</v>
      </c>
      <c r="R8" s="240">
        <v>93.91</v>
      </c>
      <c r="S8" s="240">
        <v>63.33</v>
      </c>
      <c r="T8" s="241">
        <v>32</v>
      </c>
      <c r="U8" s="242">
        <f t="shared" si="1"/>
        <v>1.061233306270809</v>
      </c>
      <c r="V8" s="243">
        <f t="shared" si="3"/>
        <v>1.0162482168330955</v>
      </c>
    </row>
    <row r="9" spans="2:26">
      <c r="B9" s="904"/>
      <c r="C9" s="316" t="s">
        <v>198</v>
      </c>
      <c r="D9" s="240">
        <v>21.28</v>
      </c>
      <c r="E9" s="240">
        <v>389.2</v>
      </c>
      <c r="F9" s="240"/>
      <c r="G9" s="240">
        <v>94.45</v>
      </c>
      <c r="H9" s="240">
        <v>58.7</v>
      </c>
      <c r="I9" s="241">
        <v>86</v>
      </c>
      <c r="J9" s="242">
        <f>E9/$E$9</f>
        <v>1</v>
      </c>
      <c r="K9" s="242"/>
      <c r="M9" s="904"/>
      <c r="N9" s="316" t="s">
        <v>198</v>
      </c>
      <c r="O9" s="240">
        <v>35.496000000000002</v>
      </c>
      <c r="P9" s="240">
        <v>1342.57</v>
      </c>
      <c r="Q9" s="240">
        <v>1310</v>
      </c>
      <c r="R9" s="240">
        <v>94.15</v>
      </c>
      <c r="S9" s="240">
        <v>58.43</v>
      </c>
      <c r="T9" s="241">
        <v>309</v>
      </c>
      <c r="U9" s="242">
        <f>P9/$P$9</f>
        <v>1</v>
      </c>
      <c r="V9" s="243">
        <f t="shared" si="3"/>
        <v>1.0248625954198474</v>
      </c>
      <c r="W9" s="245"/>
    </row>
    <row r="10" spans="2:26">
      <c r="B10" s="904"/>
      <c r="C10" s="316" t="s">
        <v>200</v>
      </c>
      <c r="D10" s="240">
        <v>21.268678907990676</v>
      </c>
      <c r="E10" s="240">
        <v>368.62767112098339</v>
      </c>
      <c r="F10" s="240"/>
      <c r="G10" s="240">
        <v>93.756343591588163</v>
      </c>
      <c r="H10" s="240">
        <v>57.227037790973888</v>
      </c>
      <c r="I10" s="241">
        <v>32</v>
      </c>
      <c r="J10" s="242">
        <f>E10/$E$9</f>
        <v>0.94714201212996763</v>
      </c>
      <c r="K10" s="242"/>
      <c r="M10" s="904"/>
      <c r="N10" s="316" t="s">
        <v>200</v>
      </c>
      <c r="O10" s="240">
        <v>35.371000000000002</v>
      </c>
      <c r="P10" s="240">
        <v>1246.77</v>
      </c>
      <c r="Q10" s="240">
        <v>1258</v>
      </c>
      <c r="R10" s="240">
        <v>93.88</v>
      </c>
      <c r="S10" s="240">
        <v>57.55</v>
      </c>
      <c r="T10" s="241">
        <v>31</v>
      </c>
      <c r="U10" s="242">
        <f>P10/$P$9</f>
        <v>0.92864431649746382</v>
      </c>
      <c r="V10" s="243">
        <f t="shared" si="3"/>
        <v>0.99107313195548485</v>
      </c>
    </row>
    <row r="11" spans="2:26">
      <c r="B11" s="904">
        <v>97</v>
      </c>
      <c r="C11" s="316" t="s">
        <v>196</v>
      </c>
      <c r="D11" s="264"/>
      <c r="E11" s="264"/>
      <c r="F11" s="264"/>
      <c r="G11" s="264"/>
      <c r="H11" s="264"/>
      <c r="I11" s="246"/>
      <c r="J11" s="239"/>
      <c r="K11" s="239"/>
      <c r="M11" s="904">
        <v>97</v>
      </c>
      <c r="N11" s="316" t="s">
        <v>196</v>
      </c>
      <c r="O11" s="240"/>
      <c r="P11" s="264"/>
      <c r="Q11" s="264"/>
      <c r="R11" s="264"/>
      <c r="S11" s="264"/>
      <c r="T11" s="246"/>
      <c r="U11" s="239"/>
    </row>
    <row r="12" spans="2:26">
      <c r="B12" s="904"/>
      <c r="C12" s="316" t="s">
        <v>198</v>
      </c>
      <c r="D12" s="264"/>
      <c r="E12" s="264"/>
      <c r="F12" s="264"/>
      <c r="G12" s="264"/>
      <c r="H12" s="264"/>
      <c r="I12" s="246"/>
      <c r="J12" s="239"/>
      <c r="K12" s="239"/>
      <c r="M12" s="904"/>
      <c r="N12" s="316" t="s">
        <v>198</v>
      </c>
      <c r="O12" s="240">
        <v>35.540363820633274</v>
      </c>
      <c r="P12" s="240">
        <v>1187.1670574869656</v>
      </c>
      <c r="Q12" s="240"/>
      <c r="R12" s="240">
        <v>97.412860609534931</v>
      </c>
      <c r="S12" s="240">
        <v>89.501509701449493</v>
      </c>
      <c r="T12" s="246"/>
      <c r="U12" s="242">
        <f t="shared" ref="U12:U13" si="4">P12/$P$9</f>
        <v>0.8842496536396357</v>
      </c>
    </row>
    <row r="13" spans="2:26">
      <c r="B13" s="904"/>
      <c r="C13" s="316" t="s">
        <v>200</v>
      </c>
      <c r="D13" s="264"/>
      <c r="E13" s="264"/>
      <c r="F13" s="264"/>
      <c r="G13" s="264"/>
      <c r="H13" s="264"/>
      <c r="I13" s="246"/>
      <c r="J13" s="239"/>
      <c r="K13" s="239"/>
      <c r="M13" s="904"/>
      <c r="N13" s="316" t="s">
        <v>200</v>
      </c>
      <c r="O13" s="240">
        <v>35.661023034931375</v>
      </c>
      <c r="P13" s="240">
        <v>1130.4835265341935</v>
      </c>
      <c r="Q13" s="240"/>
      <c r="R13" s="240">
        <v>96.517215821554757</v>
      </c>
      <c r="S13" s="240">
        <v>87.487573837820264</v>
      </c>
      <c r="T13" s="246"/>
      <c r="U13" s="242">
        <f t="shared" si="4"/>
        <v>0.8420294856388818</v>
      </c>
    </row>
    <row r="14" spans="2:26">
      <c r="I14" s="246"/>
      <c r="J14" s="239"/>
      <c r="K14" s="239"/>
      <c r="O14" s="247"/>
      <c r="T14" s="246"/>
      <c r="U14" s="239"/>
    </row>
    <row r="15" spans="2:26">
      <c r="B15" s="211" t="s">
        <v>202</v>
      </c>
      <c r="I15" s="246"/>
      <c r="J15" s="239"/>
      <c r="K15" s="239"/>
      <c r="M15" s="288" t="s">
        <v>246</v>
      </c>
      <c r="T15" s="246"/>
      <c r="U15" s="239"/>
    </row>
    <row r="16" spans="2:26">
      <c r="B16" s="316" t="s">
        <v>181</v>
      </c>
      <c r="C16" s="316" t="s">
        <v>182</v>
      </c>
      <c r="D16" s="316" t="s">
        <v>183</v>
      </c>
      <c r="E16" s="316" t="s">
        <v>184</v>
      </c>
      <c r="F16" s="316" t="s">
        <v>185</v>
      </c>
      <c r="G16" s="316" t="s">
        <v>181</v>
      </c>
      <c r="H16" s="316" t="s">
        <v>186</v>
      </c>
      <c r="I16" s="237" t="s">
        <v>187</v>
      </c>
      <c r="J16" s="238" t="s">
        <v>188</v>
      </c>
      <c r="K16" s="238" t="s">
        <v>189</v>
      </c>
      <c r="M16" s="316" t="s">
        <v>181</v>
      </c>
      <c r="N16" s="316" t="s">
        <v>182</v>
      </c>
      <c r="O16" s="316" t="s">
        <v>183</v>
      </c>
      <c r="P16" s="316" t="s">
        <v>184</v>
      </c>
      <c r="Q16" s="316" t="s">
        <v>185</v>
      </c>
      <c r="R16" s="316" t="s">
        <v>181</v>
      </c>
      <c r="S16" s="316" t="s">
        <v>186</v>
      </c>
      <c r="T16" s="237" t="s">
        <v>187</v>
      </c>
      <c r="U16" s="238" t="s">
        <v>188</v>
      </c>
      <c r="V16" s="238" t="s">
        <v>189</v>
      </c>
      <c r="W16" s="287" t="s">
        <v>253</v>
      </c>
      <c r="X16" s="291" t="s">
        <v>254</v>
      </c>
      <c r="Y16" s="287" t="s">
        <v>282</v>
      </c>
      <c r="Z16" s="287" t="s">
        <v>283</v>
      </c>
    </row>
    <row r="17" spans="1:26">
      <c r="A17" s="211">
        <v>813</v>
      </c>
      <c r="B17" s="904">
        <v>80</v>
      </c>
      <c r="C17" s="316" t="s">
        <v>196</v>
      </c>
      <c r="D17" s="240">
        <v>35.966000000000001</v>
      </c>
      <c r="E17" s="240">
        <v>818.44</v>
      </c>
      <c r="F17" s="240">
        <v>813</v>
      </c>
      <c r="G17" s="240">
        <v>84.66</v>
      </c>
      <c r="H17" s="240">
        <v>15.23</v>
      </c>
      <c r="I17" s="241">
        <v>31</v>
      </c>
      <c r="J17" s="242">
        <f t="shared" ref="J17:J20" si="5">E17/$E$21</f>
        <v>1.2398727465535526</v>
      </c>
      <c r="K17" s="242">
        <f>E17/F17</f>
        <v>1.0066912669126693</v>
      </c>
      <c r="M17" s="904">
        <v>80</v>
      </c>
      <c r="N17" s="284" t="s">
        <v>243</v>
      </c>
      <c r="O17" s="240">
        <v>35.827707889599772</v>
      </c>
      <c r="P17" s="240">
        <v>3410.0854334160372</v>
      </c>
      <c r="Q17" s="240"/>
      <c r="R17" s="240">
        <v>84.221663626886453</v>
      </c>
      <c r="S17" s="240">
        <v>11.952354224617581</v>
      </c>
      <c r="T17" s="249">
        <v>15</v>
      </c>
      <c r="U17" s="242">
        <f t="shared" ref="U17:U28" si="6">P17/$P$25</f>
        <v>1.2496419493251874</v>
      </c>
      <c r="V17" s="243" t="e">
        <f>P17/Q17</f>
        <v>#DIV/0!</v>
      </c>
      <c r="W17" s="283"/>
      <c r="X17" s="244"/>
      <c r="Y17" s="318">
        <v>0.995</v>
      </c>
    </row>
    <row r="18" spans="1:26">
      <c r="B18" s="904"/>
      <c r="C18" s="316" t="s">
        <v>198</v>
      </c>
      <c r="D18" s="240">
        <v>36.051000000000002</v>
      </c>
      <c r="E18" s="240">
        <v>787.44</v>
      </c>
      <c r="F18" s="240">
        <v>780</v>
      </c>
      <c r="G18" s="240">
        <v>82.88</v>
      </c>
      <c r="H18" s="240">
        <v>6.55</v>
      </c>
      <c r="I18" s="241">
        <v>32</v>
      </c>
      <c r="J18" s="242">
        <f t="shared" si="5"/>
        <v>1.1929101651264959</v>
      </c>
      <c r="K18" s="242">
        <f t="shared" ref="K18:K22" si="7">E18/F18</f>
        <v>1.0095384615384617</v>
      </c>
      <c r="L18" s="244">
        <v>-0.01</v>
      </c>
      <c r="M18" s="904"/>
      <c r="N18" s="316" t="s">
        <v>196</v>
      </c>
      <c r="O18" s="240">
        <v>35.697000000000003</v>
      </c>
      <c r="P18" s="240">
        <v>3363.34</v>
      </c>
      <c r="Q18" s="240">
        <v>3350</v>
      </c>
      <c r="R18" s="240">
        <v>84.12</v>
      </c>
      <c r="S18" s="240">
        <v>12.68</v>
      </c>
      <c r="T18" s="241">
        <v>44</v>
      </c>
      <c r="U18" s="242">
        <f t="shared" si="6"/>
        <v>1.232511863972003</v>
      </c>
      <c r="V18" s="243">
        <f>P18/Q18</f>
        <v>1.0039820895522389</v>
      </c>
      <c r="W18" s="283"/>
      <c r="X18" s="244"/>
    </row>
    <row r="19" spans="1:26">
      <c r="B19" s="904"/>
      <c r="C19" s="316" t="s">
        <v>200</v>
      </c>
      <c r="D19" s="240">
        <v>36.081000000000003</v>
      </c>
      <c r="E19" s="240">
        <v>760.62</v>
      </c>
      <c r="F19" s="240">
        <v>735</v>
      </c>
      <c r="G19" s="240">
        <v>81.48</v>
      </c>
      <c r="H19" s="240">
        <v>2.0499999999999998</v>
      </c>
      <c r="I19" s="241">
        <v>31</v>
      </c>
      <c r="J19" s="242">
        <f t="shared" si="5"/>
        <v>1.1522799575821845</v>
      </c>
      <c r="K19" s="242">
        <f t="shared" si="7"/>
        <v>1.0348571428571429</v>
      </c>
      <c r="L19" s="244">
        <v>-0.01</v>
      </c>
      <c r="M19" s="904"/>
      <c r="N19" s="285" t="s">
        <v>244</v>
      </c>
      <c r="O19" s="240">
        <v>35.829483328394197</v>
      </c>
      <c r="P19" s="240">
        <v>3325.2025416782294</v>
      </c>
      <c r="Q19" s="240">
        <v>3297</v>
      </c>
      <c r="R19" s="240">
        <v>83.770479936283579</v>
      </c>
      <c r="S19" s="240">
        <v>9.8710725480912931</v>
      </c>
      <c r="T19" s="249">
        <v>26</v>
      </c>
      <c r="U19" s="242">
        <f t="shared" si="6"/>
        <v>1.2185362118395036</v>
      </c>
      <c r="V19" s="243">
        <f>P19/Q19</f>
        <v>1.0085540011156291</v>
      </c>
      <c r="W19" s="283"/>
      <c r="X19" s="244"/>
    </row>
    <row r="20" spans="1:26">
      <c r="B20" s="904">
        <v>90</v>
      </c>
      <c r="C20" s="316" t="s">
        <v>196</v>
      </c>
      <c r="D20" s="240">
        <v>35.476999999999997</v>
      </c>
      <c r="E20" s="240">
        <v>716.22</v>
      </c>
      <c r="F20" s="240">
        <v>696</v>
      </c>
      <c r="G20" s="240">
        <v>92.16</v>
      </c>
      <c r="H20" s="240">
        <v>57.54</v>
      </c>
      <c r="I20" s="241">
        <v>32</v>
      </c>
      <c r="J20" s="242">
        <f t="shared" si="5"/>
        <v>1.0850174216027875</v>
      </c>
      <c r="K20" s="242">
        <f t="shared" si="7"/>
        <v>1.0290517241379311</v>
      </c>
      <c r="M20" s="904"/>
      <c r="N20" s="316" t="s">
        <v>198</v>
      </c>
      <c r="O20" s="240">
        <v>35.673999999999999</v>
      </c>
      <c r="P20" s="240">
        <v>3228.54</v>
      </c>
      <c r="Q20" s="240">
        <v>3216</v>
      </c>
      <c r="R20" s="295">
        <v>82.84</v>
      </c>
      <c r="S20" s="295">
        <v>6.34</v>
      </c>
      <c r="T20" s="241">
        <v>44</v>
      </c>
      <c r="U20" s="242">
        <f t="shared" si="6"/>
        <v>1.1831137658720707</v>
      </c>
      <c r="V20" s="243">
        <f t="shared" ref="V20:V21" si="8">P20/Q20</f>
        <v>1.0038992537313434</v>
      </c>
      <c r="W20" s="283">
        <v>0.99</v>
      </c>
    </row>
    <row r="21" spans="1:26">
      <c r="B21" s="904"/>
      <c r="C21" s="316" t="s">
        <v>198</v>
      </c>
      <c r="D21" s="240">
        <v>35.56</v>
      </c>
      <c r="E21" s="240">
        <v>660.1</v>
      </c>
      <c r="F21" s="240">
        <v>650</v>
      </c>
      <c r="G21" s="240">
        <v>93.82</v>
      </c>
      <c r="H21" s="240">
        <v>58.94</v>
      </c>
      <c r="I21" s="241">
        <v>320</v>
      </c>
      <c r="J21" s="242">
        <f>E21/$E$21</f>
        <v>1</v>
      </c>
      <c r="K21" s="242">
        <f t="shared" si="7"/>
        <v>1.0155384615384615</v>
      </c>
      <c r="M21" s="904"/>
      <c r="N21" s="316" t="s">
        <v>200</v>
      </c>
      <c r="O21" s="240">
        <v>35.765999999999998</v>
      </c>
      <c r="P21" s="240">
        <v>3157.83</v>
      </c>
      <c r="Q21" s="240">
        <v>3029</v>
      </c>
      <c r="R21" s="295">
        <v>81.53</v>
      </c>
      <c r="S21" s="295">
        <v>1.8</v>
      </c>
      <c r="T21" s="241">
        <v>15</v>
      </c>
      <c r="U21" s="242">
        <f t="shared" si="6"/>
        <v>1.157201751653627</v>
      </c>
      <c r="V21" s="243">
        <f t="shared" si="8"/>
        <v>1.0425321888412018</v>
      </c>
      <c r="W21" s="318">
        <v>0.98499999999999999</v>
      </c>
      <c r="X21" s="283">
        <v>0.99</v>
      </c>
    </row>
    <row r="22" spans="1:26">
      <c r="B22" s="904"/>
      <c r="C22" s="316" t="s">
        <v>200</v>
      </c>
      <c r="D22" s="240">
        <v>35.506999999999998</v>
      </c>
      <c r="E22" s="240">
        <v>625.77</v>
      </c>
      <c r="F22" s="240">
        <v>624</v>
      </c>
      <c r="G22" s="240">
        <v>94.46</v>
      </c>
      <c r="H22" s="240">
        <v>59.39</v>
      </c>
      <c r="I22" s="241">
        <v>32</v>
      </c>
      <c r="J22" s="242">
        <f>E22/$E$21</f>
        <v>0.94799272837448867</v>
      </c>
      <c r="K22" s="242">
        <f t="shared" si="7"/>
        <v>1.0028365384615385</v>
      </c>
      <c r="M22" s="904">
        <v>90</v>
      </c>
      <c r="N22" s="285" t="s">
        <v>243</v>
      </c>
      <c r="O22" s="240">
        <v>35.94206821556169</v>
      </c>
      <c r="P22" s="240">
        <v>2999.3530522212104</v>
      </c>
      <c r="Q22" s="240"/>
      <c r="R22" s="295">
        <v>92.237340828447486</v>
      </c>
      <c r="S22" s="240">
        <v>58.913783694464655</v>
      </c>
      <c r="T22" s="249">
        <v>15</v>
      </c>
      <c r="U22" s="242">
        <f t="shared" si="6"/>
        <v>1.0991271239610865</v>
      </c>
      <c r="V22" s="243" t="e">
        <f>P22/Q22</f>
        <v>#DIV/0!</v>
      </c>
      <c r="X22" s="283">
        <v>0.99</v>
      </c>
    </row>
    <row r="23" spans="1:26">
      <c r="B23" s="904">
        <v>97</v>
      </c>
      <c r="C23" s="316" t="s">
        <v>196</v>
      </c>
      <c r="D23" s="240"/>
      <c r="E23" s="264"/>
      <c r="F23" s="264"/>
      <c r="G23" s="264"/>
      <c r="H23" s="264"/>
      <c r="M23" s="904"/>
      <c r="N23" s="316" t="s">
        <v>196</v>
      </c>
      <c r="O23" s="240">
        <v>35.704999999999998</v>
      </c>
      <c r="P23" s="240">
        <v>2920.83</v>
      </c>
      <c r="Q23" s="240">
        <v>2868</v>
      </c>
      <c r="R23" s="240">
        <v>93.88</v>
      </c>
      <c r="S23" s="240">
        <v>63.85</v>
      </c>
      <c r="T23" s="241">
        <v>15</v>
      </c>
      <c r="U23" s="242">
        <f t="shared" si="6"/>
        <v>1.0703519797716987</v>
      </c>
      <c r="V23" s="243">
        <f>P23/Q23</f>
        <v>1.0184205020920503</v>
      </c>
      <c r="Z23" s="326">
        <v>0.99</v>
      </c>
    </row>
    <row r="24" spans="1:26">
      <c r="B24" s="904"/>
      <c r="C24" s="316" t="s">
        <v>198</v>
      </c>
      <c r="D24" s="240">
        <v>35.36813558524512</v>
      </c>
      <c r="E24" s="240">
        <v>586.62250225407638</v>
      </c>
      <c r="F24" s="240"/>
      <c r="G24" s="240">
        <v>97.675708323579642</v>
      </c>
      <c r="H24" s="240">
        <v>89.00569196817122</v>
      </c>
      <c r="I24" s="249">
        <v>32</v>
      </c>
      <c r="J24" s="242">
        <f>E24/$E$21</f>
        <v>0.88868732351776447</v>
      </c>
      <c r="M24" s="904"/>
      <c r="N24" s="285" t="s">
        <v>244</v>
      </c>
      <c r="O24" s="240">
        <v>35.760980623335634</v>
      </c>
      <c r="P24" s="240">
        <v>2879.5180844731735</v>
      </c>
      <c r="Q24" s="240">
        <v>2761</v>
      </c>
      <c r="R24" s="295">
        <v>93.224936909791651</v>
      </c>
      <c r="S24" s="240">
        <v>57.992813080397433</v>
      </c>
      <c r="T24" s="249">
        <v>14</v>
      </c>
      <c r="U24" s="242">
        <f t="shared" si="6"/>
        <v>1.0552130327695453</v>
      </c>
      <c r="V24" s="243">
        <f t="shared" ref="V24:V30" si="9">P24/Q24</f>
        <v>1.0429257821344344</v>
      </c>
      <c r="X24" s="283">
        <v>0.99</v>
      </c>
    </row>
    <row r="25" spans="1:26">
      <c r="B25" s="904"/>
      <c r="C25" s="316" t="s">
        <v>200</v>
      </c>
      <c r="D25" s="240">
        <v>35.584070146670257</v>
      </c>
      <c r="E25" s="240">
        <v>562.65067889417594</v>
      </c>
      <c r="F25" s="240"/>
      <c r="G25" s="240">
        <v>97.01542965096732</v>
      </c>
      <c r="H25" s="240">
        <v>87.192926671728188</v>
      </c>
      <c r="I25" s="249">
        <v>32</v>
      </c>
      <c r="J25" s="242">
        <f t="shared" ref="J25" si="10">E25/$E$21</f>
        <v>0.85237188137278586</v>
      </c>
      <c r="M25" s="904"/>
      <c r="N25" s="316" t="s">
        <v>198</v>
      </c>
      <c r="O25" s="240">
        <v>35.56</v>
      </c>
      <c r="P25" s="240">
        <v>2728.85</v>
      </c>
      <c r="Q25" s="240">
        <v>2680</v>
      </c>
      <c r="R25" s="240">
        <v>93.83</v>
      </c>
      <c r="S25" s="240">
        <v>56.35</v>
      </c>
      <c r="T25" s="241">
        <v>143</v>
      </c>
      <c r="U25" s="242">
        <f t="shared" si="6"/>
        <v>1</v>
      </c>
      <c r="V25" s="243">
        <f t="shared" si="9"/>
        <v>1.0182276119402984</v>
      </c>
      <c r="Z25" s="326">
        <v>0.99</v>
      </c>
    </row>
    <row r="26" spans="1:26">
      <c r="M26" s="904"/>
      <c r="N26" s="316" t="s">
        <v>200</v>
      </c>
      <c r="O26" s="240">
        <v>35.466999999999999</v>
      </c>
      <c r="P26" s="240">
        <v>2560.88</v>
      </c>
      <c r="Q26" s="240">
        <v>2573</v>
      </c>
      <c r="R26" s="240">
        <v>94.19</v>
      </c>
      <c r="S26" s="240">
        <v>58.24</v>
      </c>
      <c r="T26" s="241">
        <v>15</v>
      </c>
      <c r="U26" s="242">
        <f t="shared" si="6"/>
        <v>0.93844659838393474</v>
      </c>
      <c r="V26" s="243">
        <f t="shared" si="9"/>
        <v>0.99528954527788582</v>
      </c>
      <c r="Z26" s="326">
        <v>0.99</v>
      </c>
    </row>
    <row r="27" spans="1:26">
      <c r="M27" s="904"/>
      <c r="N27" s="285" t="s">
        <v>245</v>
      </c>
      <c r="O27" s="240">
        <v>35.866167580179471</v>
      </c>
      <c r="P27" s="240">
        <v>2423.9996619465214</v>
      </c>
      <c r="Q27" s="240"/>
      <c r="R27" s="240">
        <v>93.312668540445486</v>
      </c>
      <c r="S27" s="295">
        <v>54.521926358068363</v>
      </c>
      <c r="T27" s="249">
        <v>8</v>
      </c>
      <c r="U27" s="242">
        <f t="shared" si="6"/>
        <v>0.88828615055665261</v>
      </c>
      <c r="V27" s="243" t="e">
        <f t="shared" si="9"/>
        <v>#DIV/0!</v>
      </c>
      <c r="X27" s="283">
        <v>0.99</v>
      </c>
    </row>
    <row r="28" spans="1:26">
      <c r="M28" s="904">
        <v>97</v>
      </c>
      <c r="N28" s="321" t="s">
        <v>196</v>
      </c>
      <c r="O28" s="322">
        <v>35.667186154982758</v>
      </c>
      <c r="P28" s="322">
        <v>2696.9388526048219</v>
      </c>
      <c r="Q28" s="323"/>
      <c r="R28" s="322">
        <v>97.371326019658497</v>
      </c>
      <c r="S28" s="322">
        <v>87.456817118458574</v>
      </c>
      <c r="T28" s="324">
        <v>15</v>
      </c>
      <c r="U28" s="242">
        <f t="shared" si="6"/>
        <v>0.98830600897990806</v>
      </c>
      <c r="V28" s="243" t="e">
        <f t="shared" si="9"/>
        <v>#DIV/0!</v>
      </c>
    </row>
    <row r="29" spans="1:26">
      <c r="M29" s="904"/>
      <c r="N29" s="316" t="s">
        <v>198</v>
      </c>
      <c r="O29" s="240">
        <v>35.891799223933056</v>
      </c>
      <c r="P29" s="240">
        <v>2446.0835573679328</v>
      </c>
      <c r="Q29" s="240"/>
      <c r="R29" s="240">
        <v>98.16515912702333</v>
      </c>
      <c r="S29" s="240">
        <v>89.320201868266707</v>
      </c>
      <c r="T29" s="249">
        <v>15</v>
      </c>
      <c r="U29" s="242">
        <f>P29/$P$25</f>
        <v>0.89637889857190134</v>
      </c>
      <c r="V29" s="243" t="e">
        <f t="shared" si="9"/>
        <v>#DIV/0!</v>
      </c>
    </row>
    <row r="30" spans="1:26">
      <c r="M30" s="904"/>
      <c r="N30" s="316" t="s">
        <v>200</v>
      </c>
      <c r="O30" s="240">
        <v>35.876593715533247</v>
      </c>
      <c r="P30" s="240">
        <v>2319.5404407664237</v>
      </c>
      <c r="Q30" s="240"/>
      <c r="R30" s="240">
        <v>97.162921371870695</v>
      </c>
      <c r="S30" s="240">
        <v>88.249243397269879</v>
      </c>
      <c r="T30" s="249">
        <v>14</v>
      </c>
      <c r="U30" s="242">
        <f>P30/$P$25</f>
        <v>0.85000657447878181</v>
      </c>
      <c r="V30" s="243" t="e">
        <f t="shared" si="9"/>
        <v>#DIV/0!</v>
      </c>
    </row>
    <row r="31" spans="1:26" ht="22.5">
      <c r="B31" s="248" t="s">
        <v>209</v>
      </c>
      <c r="M31" s="249"/>
      <c r="N31" s="249"/>
      <c r="O31" s="249"/>
      <c r="P31" s="247"/>
      <c r="Q31" s="249"/>
      <c r="R31" s="247"/>
      <c r="S31" s="249"/>
      <c r="X31" s="249"/>
      <c r="Y31" s="296"/>
      <c r="Z31" s="249"/>
    </row>
    <row r="33" spans="1:35">
      <c r="B33" s="211" t="s">
        <v>179</v>
      </c>
      <c r="D33" s="211">
        <f>300*1</f>
        <v>300</v>
      </c>
      <c r="O33" s="211" t="s">
        <v>180</v>
      </c>
      <c r="Q33" s="211">
        <f>300*2</f>
        <v>600</v>
      </c>
    </row>
    <row r="34" spans="1:35">
      <c r="A34" s="249" t="s">
        <v>285</v>
      </c>
      <c r="B34" s="316" t="s">
        <v>181</v>
      </c>
      <c r="C34" s="316" t="s">
        <v>182</v>
      </c>
      <c r="D34" s="316" t="s">
        <v>214</v>
      </c>
      <c r="E34" s="316" t="s">
        <v>183</v>
      </c>
      <c r="F34" s="316" t="s">
        <v>184</v>
      </c>
      <c r="G34" s="316" t="s">
        <v>217</v>
      </c>
      <c r="H34" s="316" t="s">
        <v>185</v>
      </c>
      <c r="I34" s="316" t="s">
        <v>181</v>
      </c>
      <c r="J34" s="316" t="s">
        <v>186</v>
      </c>
      <c r="K34" s="237"/>
      <c r="L34" s="238" t="s">
        <v>188</v>
      </c>
      <c r="M34" s="238" t="s">
        <v>189</v>
      </c>
      <c r="N34" s="249" t="s">
        <v>284</v>
      </c>
      <c r="O34" s="316" t="s">
        <v>181</v>
      </c>
      <c r="P34" s="316" t="s">
        <v>182</v>
      </c>
      <c r="Q34" s="316" t="s">
        <v>214</v>
      </c>
      <c r="R34" s="316" t="s">
        <v>183</v>
      </c>
      <c r="S34" s="316" t="s">
        <v>184</v>
      </c>
      <c r="T34" s="316" t="s">
        <v>217</v>
      </c>
      <c r="U34" s="316" t="s">
        <v>185</v>
      </c>
      <c r="V34" s="316" t="s">
        <v>181</v>
      </c>
      <c r="W34" s="316" t="s">
        <v>186</v>
      </c>
      <c r="X34" s="237"/>
      <c r="Y34" s="238"/>
      <c r="Z34" s="238" t="s">
        <v>189</v>
      </c>
      <c r="AB34" s="316" t="s">
        <v>181</v>
      </c>
      <c r="AC34" s="316" t="s">
        <v>182</v>
      </c>
      <c r="AD34" s="250" t="s">
        <v>188</v>
      </c>
    </row>
    <row r="35" spans="1:35">
      <c r="A35" s="297">
        <f>D35*E35/1000</f>
        <v>3.7240000000000002</v>
      </c>
      <c r="B35" s="904">
        <v>80</v>
      </c>
      <c r="C35" s="316" t="s">
        <v>196</v>
      </c>
      <c r="D35" s="316">
        <v>175</v>
      </c>
      <c r="E35" s="240">
        <f>$D$9</f>
        <v>21.28</v>
      </c>
      <c r="F35" s="268">
        <f>ROUNDDOWN(K35,0)</f>
        <v>481</v>
      </c>
      <c r="G35" s="251">
        <f>F35/(D35*E35/1000)</f>
        <v>129.16219119226636</v>
      </c>
      <c r="H35" s="240"/>
      <c r="I35" s="240"/>
      <c r="J35" s="240"/>
      <c r="K35" s="266">
        <f>$K$39*AD35</f>
        <v>481.05488803652213</v>
      </c>
      <c r="L35" s="242"/>
      <c r="M35" s="242"/>
      <c r="N35" s="297">
        <f>Q35*R35/1000</f>
        <v>12.46</v>
      </c>
      <c r="O35" s="904">
        <v>80</v>
      </c>
      <c r="P35" s="316" t="s">
        <v>196</v>
      </c>
      <c r="Q35" s="316">
        <v>350</v>
      </c>
      <c r="R35" s="240">
        <v>35.6</v>
      </c>
      <c r="S35" s="268">
        <f>ROUNDDOWN(X35,0)</f>
        <v>1658</v>
      </c>
      <c r="T35" s="251">
        <f>S35/(Q35*R35/1000)</f>
        <v>133.06581059390047</v>
      </c>
      <c r="U35" s="251">
        <v>1638</v>
      </c>
      <c r="V35" s="240">
        <f t="shared" ref="V35:W40" si="11">R5</f>
        <v>84.48</v>
      </c>
      <c r="W35" s="240">
        <f t="shared" si="11"/>
        <v>14.31</v>
      </c>
      <c r="X35" s="241">
        <f>P5</f>
        <v>1658.87</v>
      </c>
      <c r="Y35" s="242">
        <f t="shared" ref="Y35:Y43" si="12">X35/$X$39</f>
        <v>1.2355929299775803</v>
      </c>
      <c r="Z35" s="243">
        <f t="shared" ref="Z35:Z40" si="13">S35/U35</f>
        <v>1.0122100122100122</v>
      </c>
      <c r="AB35" s="904">
        <v>80</v>
      </c>
      <c r="AC35" s="316" t="s">
        <v>196</v>
      </c>
      <c r="AD35" s="252">
        <f>AVERAGE(Y35,L48,Y49)</f>
        <v>1.2360094759417322</v>
      </c>
    </row>
    <row r="36" spans="1:35">
      <c r="A36" s="297">
        <f t="shared" ref="A36:A43" si="14">D36*E36/1000</f>
        <v>3.7240000000000002</v>
      </c>
      <c r="B36" s="904"/>
      <c r="C36" s="316" t="s">
        <v>198</v>
      </c>
      <c r="D36" s="316">
        <v>175</v>
      </c>
      <c r="E36" s="240">
        <f t="shared" ref="E36:E43" si="15">$D$9</f>
        <v>21.28</v>
      </c>
      <c r="F36" s="268">
        <f t="shared" ref="F36:F43" si="16">ROUNDDOWN(K36,0)</f>
        <v>457</v>
      </c>
      <c r="G36" s="251">
        <f t="shared" ref="G36:G43" si="17">F36/(D36*E36/1000)</f>
        <v>122.71750805585391</v>
      </c>
      <c r="H36" s="240"/>
      <c r="I36" s="240"/>
      <c r="J36" s="240"/>
      <c r="K36" s="266">
        <f>$K$39*AD36</f>
        <v>457.49776203599379</v>
      </c>
      <c r="L36" s="242"/>
      <c r="M36" s="242"/>
      <c r="N36" s="297">
        <f t="shared" ref="N36:N43" si="18">Q36*R36/1000</f>
        <v>12.46</v>
      </c>
      <c r="O36" s="904"/>
      <c r="P36" s="316" t="s">
        <v>198</v>
      </c>
      <c r="Q36" s="316">
        <v>350</v>
      </c>
      <c r="R36" s="240">
        <v>35.6</v>
      </c>
      <c r="S36" s="268">
        <f t="shared" ref="S36:S39" si="19">ROUNDDOWN(X36,0)</f>
        <v>1576</v>
      </c>
      <c r="T36" s="251">
        <f t="shared" ref="T36:T43" si="20">S36/(Q36*R36/1000)</f>
        <v>126.48475120385231</v>
      </c>
      <c r="U36" s="251">
        <v>1572</v>
      </c>
      <c r="V36" s="240">
        <f t="shared" si="11"/>
        <v>82.71</v>
      </c>
      <c r="W36" s="240">
        <f t="shared" si="11"/>
        <v>5.81</v>
      </c>
      <c r="X36" s="241">
        <f>P6*0.99</f>
        <v>1576.5552</v>
      </c>
      <c r="Y36" s="242">
        <f t="shared" si="12"/>
        <v>1.1742815644621882</v>
      </c>
      <c r="Z36" s="243">
        <f t="shared" si="13"/>
        <v>1.0025445292620865</v>
      </c>
      <c r="AB36" s="904"/>
      <c r="AC36" s="316" t="s">
        <v>198</v>
      </c>
      <c r="AD36" s="252">
        <f>AVERAGE(Y36,L49,Y51)</f>
        <v>1.1754824307194085</v>
      </c>
    </row>
    <row r="37" spans="1:35">
      <c r="A37" s="297">
        <f t="shared" si="14"/>
        <v>3.7240000000000002</v>
      </c>
      <c r="B37" s="904"/>
      <c r="C37" s="316" t="s">
        <v>200</v>
      </c>
      <c r="D37" s="316">
        <v>175</v>
      </c>
      <c r="E37" s="240">
        <f t="shared" si="15"/>
        <v>21.28</v>
      </c>
      <c r="F37" s="268">
        <f t="shared" si="16"/>
        <v>441</v>
      </c>
      <c r="G37" s="251">
        <f t="shared" si="17"/>
        <v>118.42105263157895</v>
      </c>
      <c r="H37" s="240"/>
      <c r="I37" s="240"/>
      <c r="J37" s="240"/>
      <c r="K37" s="266">
        <f>$K$39*AD37</f>
        <v>441.08963846746462</v>
      </c>
      <c r="L37" s="242"/>
      <c r="M37" s="242"/>
      <c r="N37" s="297">
        <f t="shared" si="18"/>
        <v>12.46</v>
      </c>
      <c r="O37" s="904"/>
      <c r="P37" s="316" t="s">
        <v>200</v>
      </c>
      <c r="Q37" s="316">
        <v>350</v>
      </c>
      <c r="R37" s="240">
        <v>35.6</v>
      </c>
      <c r="S37" s="268">
        <f t="shared" si="19"/>
        <v>1518</v>
      </c>
      <c r="T37" s="251">
        <f t="shared" si="20"/>
        <v>121.8298555377207</v>
      </c>
      <c r="U37" s="251">
        <v>1480</v>
      </c>
      <c r="V37" s="240">
        <f t="shared" si="11"/>
        <v>81.44</v>
      </c>
      <c r="W37" s="240">
        <f t="shared" si="11"/>
        <v>1.83</v>
      </c>
      <c r="X37" s="241">
        <f>P7*0.99</f>
        <v>1518.3036000000002</v>
      </c>
      <c r="Y37" s="242">
        <f t="shared" si="12"/>
        <v>1.1308934357240221</v>
      </c>
      <c r="Z37" s="243">
        <f t="shared" si="13"/>
        <v>1.0256756756756757</v>
      </c>
      <c r="AB37" s="904"/>
      <c r="AC37" s="316" t="s">
        <v>200</v>
      </c>
      <c r="AD37" s="252">
        <f>AVERAGE(Y37,L50,Y52)</f>
        <v>1.1333238398444621</v>
      </c>
    </row>
    <row r="38" spans="1:35">
      <c r="A38" s="297">
        <f t="shared" si="14"/>
        <v>3.7240000000000002</v>
      </c>
      <c r="B38" s="904">
        <v>90</v>
      </c>
      <c r="C38" s="316" t="s">
        <v>196</v>
      </c>
      <c r="D38" s="316">
        <v>175</v>
      </c>
      <c r="E38" s="240">
        <f t="shared" si="15"/>
        <v>21.28</v>
      </c>
      <c r="F38" s="268">
        <f t="shared" si="16"/>
        <v>417</v>
      </c>
      <c r="G38" s="251">
        <f t="shared" si="17"/>
        <v>111.97636949516648</v>
      </c>
      <c r="H38" s="240"/>
      <c r="I38" s="240"/>
      <c r="J38" s="240"/>
      <c r="K38" s="266">
        <f>$K$39*AD38</f>
        <v>417.30059127184967</v>
      </c>
      <c r="L38" s="242"/>
      <c r="M38" s="242"/>
      <c r="N38" s="297">
        <f t="shared" si="18"/>
        <v>12.46</v>
      </c>
      <c r="O38" s="904">
        <v>90</v>
      </c>
      <c r="P38" s="316" t="s">
        <v>196</v>
      </c>
      <c r="Q38" s="316">
        <v>350</v>
      </c>
      <c r="R38" s="240">
        <v>35.6</v>
      </c>
      <c r="S38" s="268">
        <f t="shared" si="19"/>
        <v>1424</v>
      </c>
      <c r="T38" s="251">
        <f t="shared" si="20"/>
        <v>114.28571428571428</v>
      </c>
      <c r="U38" s="251">
        <v>1402</v>
      </c>
      <c r="V38" s="240">
        <f t="shared" si="11"/>
        <v>93.91</v>
      </c>
      <c r="W38" s="240">
        <f t="shared" si="11"/>
        <v>63.33</v>
      </c>
      <c r="X38" s="241">
        <f>P8</f>
        <v>1424.78</v>
      </c>
      <c r="Y38" s="242">
        <f t="shared" si="12"/>
        <v>1.061233306270809</v>
      </c>
      <c r="Z38" s="243">
        <f t="shared" si="13"/>
        <v>1.0156918687589158</v>
      </c>
      <c r="AB38" s="904">
        <v>90</v>
      </c>
      <c r="AC38" s="316" t="s">
        <v>196</v>
      </c>
      <c r="AD38" s="252">
        <f>AVERAGE(Y38,L51,Y54)</f>
        <v>1.0722009025484318</v>
      </c>
    </row>
    <row r="39" spans="1:35">
      <c r="A39" s="297">
        <f t="shared" si="14"/>
        <v>3.7240000000000002</v>
      </c>
      <c r="B39" s="904"/>
      <c r="C39" s="316" t="s">
        <v>198</v>
      </c>
      <c r="D39" s="316">
        <v>175</v>
      </c>
      <c r="E39" s="240">
        <v>21.28</v>
      </c>
      <c r="F39" s="268">
        <f t="shared" si="16"/>
        <v>389</v>
      </c>
      <c r="G39" s="251">
        <f t="shared" si="17"/>
        <v>104.45757250268528</v>
      </c>
      <c r="H39" s="240"/>
      <c r="I39" s="240">
        <v>94.45</v>
      </c>
      <c r="J39" s="240">
        <v>58.7</v>
      </c>
      <c r="K39" s="241">
        <f>E9</f>
        <v>389.2</v>
      </c>
      <c r="L39" s="242"/>
      <c r="M39" s="242"/>
      <c r="N39" s="297">
        <f t="shared" si="18"/>
        <v>12.46</v>
      </c>
      <c r="O39" s="904"/>
      <c r="P39" s="316" t="s">
        <v>198</v>
      </c>
      <c r="Q39" s="316">
        <v>350</v>
      </c>
      <c r="R39" s="240">
        <v>35.6</v>
      </c>
      <c r="S39" s="268">
        <f t="shared" si="19"/>
        <v>1342</v>
      </c>
      <c r="T39" s="251">
        <f t="shared" si="20"/>
        <v>107.70465489566612</v>
      </c>
      <c r="U39" s="251">
        <v>1310</v>
      </c>
      <c r="V39" s="240">
        <f t="shared" si="11"/>
        <v>94.15</v>
      </c>
      <c r="W39" s="240">
        <f t="shared" si="11"/>
        <v>58.43</v>
      </c>
      <c r="X39" s="241">
        <f>P9</f>
        <v>1342.57</v>
      </c>
      <c r="Y39" s="242">
        <f t="shared" si="12"/>
        <v>1</v>
      </c>
      <c r="Z39" s="243">
        <f t="shared" si="13"/>
        <v>1.0244274809160305</v>
      </c>
      <c r="AB39" s="904"/>
      <c r="AC39" s="316" t="s">
        <v>198</v>
      </c>
      <c r="AD39" s="252">
        <f>AVERAGE(Y39,L52,Y56)</f>
        <v>1</v>
      </c>
    </row>
    <row r="40" spans="1:35">
      <c r="A40" s="297">
        <f t="shared" si="14"/>
        <v>3.7240000000000002</v>
      </c>
      <c r="B40" s="904"/>
      <c r="C40" s="316" t="s">
        <v>200</v>
      </c>
      <c r="D40" s="316">
        <v>175</v>
      </c>
      <c r="E40" s="240">
        <f t="shared" si="15"/>
        <v>21.28</v>
      </c>
      <c r="F40" s="268">
        <f t="shared" si="16"/>
        <v>368</v>
      </c>
      <c r="G40" s="251">
        <f t="shared" si="17"/>
        <v>98.818474758324371</v>
      </c>
      <c r="H40" s="240"/>
      <c r="I40" s="240">
        <v>93.756343591588163</v>
      </c>
      <c r="J40" s="240">
        <v>57.227037790973888</v>
      </c>
      <c r="K40" s="286">
        <f>E10</f>
        <v>368.62767112098339</v>
      </c>
      <c r="L40" s="242"/>
      <c r="M40" s="242"/>
      <c r="N40" s="297">
        <f t="shared" si="18"/>
        <v>12.46</v>
      </c>
      <c r="O40" s="904"/>
      <c r="P40" s="316" t="s">
        <v>200</v>
      </c>
      <c r="Q40" s="316">
        <v>350</v>
      </c>
      <c r="R40" s="240">
        <v>35.6</v>
      </c>
      <c r="S40" s="268">
        <f>ROUNDDOWN(X40,0)</f>
        <v>1246</v>
      </c>
      <c r="T40" s="251">
        <f t="shared" si="20"/>
        <v>100</v>
      </c>
      <c r="U40" s="251">
        <v>1258</v>
      </c>
      <c r="V40" s="240">
        <f t="shared" si="11"/>
        <v>93.88</v>
      </c>
      <c r="W40" s="240">
        <f t="shared" si="11"/>
        <v>57.55</v>
      </c>
      <c r="X40" s="241">
        <f>P10</f>
        <v>1246.77</v>
      </c>
      <c r="Y40" s="242">
        <f t="shared" si="12"/>
        <v>0.92864431649746382</v>
      </c>
      <c r="Z40" s="243">
        <f t="shared" si="13"/>
        <v>0.99046104928457868</v>
      </c>
      <c r="AB40" s="904"/>
      <c r="AC40" s="316" t="s">
        <v>200</v>
      </c>
      <c r="AD40" s="252">
        <f>AVERAGE(Y40,L53,Y57)</f>
        <v>0.93836121441862907</v>
      </c>
    </row>
    <row r="41" spans="1:35">
      <c r="A41" s="297">
        <f t="shared" si="14"/>
        <v>3.7240000000000002</v>
      </c>
      <c r="B41" s="904">
        <v>97</v>
      </c>
      <c r="C41" s="316" t="s">
        <v>196</v>
      </c>
      <c r="D41" s="316">
        <v>175</v>
      </c>
      <c r="E41" s="240">
        <f t="shared" si="15"/>
        <v>21.28</v>
      </c>
      <c r="F41" s="268">
        <f t="shared" si="16"/>
        <v>384</v>
      </c>
      <c r="G41" s="251">
        <f t="shared" si="17"/>
        <v>103.11493018259935</v>
      </c>
      <c r="H41" s="264"/>
      <c r="I41" s="264"/>
      <c r="J41" s="264"/>
      <c r="K41" s="267">
        <f>$K$39*AD41</f>
        <v>384.39028543291846</v>
      </c>
      <c r="N41" s="297">
        <f t="shared" si="18"/>
        <v>12.46</v>
      </c>
      <c r="O41" s="904">
        <v>97</v>
      </c>
      <c r="P41" s="316" t="s">
        <v>196</v>
      </c>
      <c r="Q41" s="316">
        <v>350</v>
      </c>
      <c r="R41" s="240">
        <v>35.6</v>
      </c>
      <c r="S41" s="268">
        <f>ROUNDDOWN(X41,0)</f>
        <v>1325</v>
      </c>
      <c r="T41" s="251">
        <f t="shared" si="20"/>
        <v>106.34028892455858</v>
      </c>
      <c r="U41" s="251"/>
      <c r="V41" s="240"/>
      <c r="W41" s="240"/>
      <c r="X41" s="266">
        <f>X39*$AD$41</f>
        <v>1325.978585595255</v>
      </c>
      <c r="Y41" s="242">
        <f t="shared" si="12"/>
        <v>0.98764204890266805</v>
      </c>
      <c r="AB41" s="904">
        <v>97</v>
      </c>
      <c r="AC41" s="316" t="s">
        <v>196</v>
      </c>
      <c r="AD41" s="265">
        <f>AD42*AE41</f>
        <v>0.98764204890266816</v>
      </c>
      <c r="AE41" s="211">
        <v>1.1062421982651649</v>
      </c>
    </row>
    <row r="42" spans="1:35">
      <c r="A42" s="297">
        <f t="shared" si="14"/>
        <v>3.7240000000000002</v>
      </c>
      <c r="B42" s="904"/>
      <c r="C42" s="316" t="s">
        <v>198</v>
      </c>
      <c r="D42" s="316">
        <v>175</v>
      </c>
      <c r="E42" s="240">
        <f t="shared" si="15"/>
        <v>21.28</v>
      </c>
      <c r="F42" s="268">
        <f t="shared" si="16"/>
        <v>347</v>
      </c>
      <c r="G42" s="251">
        <f t="shared" si="17"/>
        <v>93.179377013963474</v>
      </c>
      <c r="H42" s="264"/>
      <c r="I42" s="264"/>
      <c r="J42" s="264"/>
      <c r="K42" s="267">
        <f>$K$39*AD42</f>
        <v>347.47389498947729</v>
      </c>
      <c r="N42" s="297">
        <f t="shared" si="18"/>
        <v>12.46</v>
      </c>
      <c r="O42" s="904"/>
      <c r="P42" s="316" t="s">
        <v>198</v>
      </c>
      <c r="Q42" s="316">
        <v>350</v>
      </c>
      <c r="R42" s="240">
        <v>35.6</v>
      </c>
      <c r="S42" s="268">
        <f t="shared" ref="S42:S43" si="21">ROUNDDOWN(X42,0)</f>
        <v>1187</v>
      </c>
      <c r="T42" s="251">
        <f t="shared" si="20"/>
        <v>95.264847512038514</v>
      </c>
      <c r="U42" s="251"/>
      <c r="V42" s="240">
        <f>R12</f>
        <v>97.412860609534931</v>
      </c>
      <c r="W42" s="240">
        <f>S12</f>
        <v>89.501509701449493</v>
      </c>
      <c r="X42" s="241">
        <f>P12</f>
        <v>1187.1670574869656</v>
      </c>
      <c r="Y42" s="242">
        <f>X42/$X$39</f>
        <v>0.8842496536396357</v>
      </c>
      <c r="AB42" s="904"/>
      <c r="AC42" s="316" t="s">
        <v>198</v>
      </c>
      <c r="AD42" s="252">
        <f>AVERAGE(Y42,L55,Y60)</f>
        <v>0.89279006934603622</v>
      </c>
    </row>
    <row r="43" spans="1:35">
      <c r="A43" s="297">
        <f t="shared" si="14"/>
        <v>3.7240000000000002</v>
      </c>
      <c r="B43" s="904"/>
      <c r="C43" s="316" t="s">
        <v>200</v>
      </c>
      <c r="D43" s="316">
        <v>175</v>
      </c>
      <c r="E43" s="240">
        <f t="shared" si="15"/>
        <v>21.28</v>
      </c>
      <c r="F43" s="268">
        <f t="shared" si="16"/>
        <v>331</v>
      </c>
      <c r="G43" s="251">
        <f t="shared" si="17"/>
        <v>88.882921589688507</v>
      </c>
      <c r="H43" s="264"/>
      <c r="I43" s="264"/>
      <c r="J43" s="264"/>
      <c r="K43" s="267">
        <f>$K$39*AD43</f>
        <v>331.20840427867796</v>
      </c>
      <c r="N43" s="297">
        <f t="shared" si="18"/>
        <v>12.46</v>
      </c>
      <c r="O43" s="904"/>
      <c r="P43" s="316" t="s">
        <v>200</v>
      </c>
      <c r="Q43" s="316">
        <v>350</v>
      </c>
      <c r="R43" s="240">
        <v>35.6</v>
      </c>
      <c r="S43" s="268">
        <f t="shared" si="21"/>
        <v>1130</v>
      </c>
      <c r="T43" s="251">
        <f t="shared" si="20"/>
        <v>90.690208667736755</v>
      </c>
      <c r="U43" s="251"/>
      <c r="V43" s="240">
        <f>R13</f>
        <v>96.517215821554757</v>
      </c>
      <c r="W43" s="240">
        <f>S13</f>
        <v>87.487573837820264</v>
      </c>
      <c r="X43" s="241">
        <f>P13</f>
        <v>1130.4835265341935</v>
      </c>
      <c r="Y43" s="242">
        <f t="shared" si="12"/>
        <v>0.8420294856388818</v>
      </c>
      <c r="AB43" s="904"/>
      <c r="AC43" s="316" t="s">
        <v>200</v>
      </c>
      <c r="AD43" s="252">
        <f>AVERAGE(Y43,L56,Y61)</f>
        <v>0.85099795549506163</v>
      </c>
    </row>
    <row r="44" spans="1:35">
      <c r="R44" s="247"/>
      <c r="X44" s="246"/>
      <c r="Y44" s="239"/>
      <c r="AB44" s="263"/>
      <c r="AC44" s="263"/>
      <c r="AD44" s="242"/>
    </row>
    <row r="45" spans="1:35">
      <c r="R45" s="247"/>
      <c r="X45" s="246"/>
      <c r="Y45" s="239"/>
      <c r="AB45" s="263"/>
      <c r="AC45" s="263"/>
      <c r="AD45" s="242"/>
      <c r="AI45" s="211">
        <v>700</v>
      </c>
    </row>
    <row r="46" spans="1:35">
      <c r="B46" s="211" t="s">
        <v>202</v>
      </c>
      <c r="D46" s="211">
        <f>300*1</f>
        <v>300</v>
      </c>
      <c r="O46" s="290" t="s">
        <v>260</v>
      </c>
      <c r="Q46" s="211">
        <f>300*4</f>
        <v>1200</v>
      </c>
      <c r="X46" s="246"/>
      <c r="Y46" s="239"/>
      <c r="AI46" s="211">
        <v>37.6</v>
      </c>
    </row>
    <row r="47" spans="1:35">
      <c r="A47" s="249" t="s">
        <v>284</v>
      </c>
      <c r="B47" s="316" t="s">
        <v>181</v>
      </c>
      <c r="C47" s="316" t="s">
        <v>182</v>
      </c>
      <c r="D47" s="316" t="s">
        <v>214</v>
      </c>
      <c r="E47" s="316" t="s">
        <v>183</v>
      </c>
      <c r="F47" s="316" t="s">
        <v>184</v>
      </c>
      <c r="G47" s="316" t="s">
        <v>217</v>
      </c>
      <c r="H47" s="316" t="s">
        <v>185</v>
      </c>
      <c r="I47" s="316" t="s">
        <v>181</v>
      </c>
      <c r="J47" s="316" t="s">
        <v>186</v>
      </c>
      <c r="M47" s="238" t="s">
        <v>189</v>
      </c>
      <c r="N47" s="249" t="s">
        <v>284</v>
      </c>
      <c r="O47" s="316" t="s">
        <v>181</v>
      </c>
      <c r="P47" s="316" t="s">
        <v>182</v>
      </c>
      <c r="Q47" s="316" t="s">
        <v>214</v>
      </c>
      <c r="R47" s="316" t="s">
        <v>183</v>
      </c>
      <c r="S47" s="316" t="s">
        <v>184</v>
      </c>
      <c r="T47" s="316" t="s">
        <v>217</v>
      </c>
      <c r="U47" s="316" t="s">
        <v>185</v>
      </c>
      <c r="V47" s="316" t="s">
        <v>181</v>
      </c>
      <c r="W47" s="316" t="s">
        <v>186</v>
      </c>
      <c r="X47" s="238"/>
      <c r="Z47" s="238" t="s">
        <v>189</v>
      </c>
      <c r="AB47" s="211" t="s">
        <v>255</v>
      </c>
      <c r="AD47" s="211" t="s">
        <v>256</v>
      </c>
      <c r="AF47" s="211" t="s">
        <v>257</v>
      </c>
      <c r="AG47" s="211" t="s">
        <v>259</v>
      </c>
      <c r="AH47" s="211" t="s">
        <v>257</v>
      </c>
      <c r="AI47" s="211" t="s">
        <v>258</v>
      </c>
    </row>
    <row r="48" spans="1:35">
      <c r="A48" s="297">
        <f>D48*E48/1000</f>
        <v>6.23</v>
      </c>
      <c r="B48" s="904">
        <v>80</v>
      </c>
      <c r="C48" s="316" t="s">
        <v>196</v>
      </c>
      <c r="D48" s="316">
        <v>175</v>
      </c>
      <c r="E48" s="240">
        <v>35.6</v>
      </c>
      <c r="F48" s="268">
        <f>ROUNDDOWN(K48,0)</f>
        <v>810</v>
      </c>
      <c r="G48" s="251">
        <f>F48/(D48*E48/1000)</f>
        <v>130.01605136436595</v>
      </c>
      <c r="H48" s="251">
        <v>813</v>
      </c>
      <c r="I48" s="240">
        <f t="shared" ref="I48:J53" si="22">G17</f>
        <v>84.66</v>
      </c>
      <c r="J48" s="240">
        <f t="shared" si="22"/>
        <v>15.23</v>
      </c>
      <c r="K48" s="253">
        <f>E17*0.99</f>
        <v>810.25560000000007</v>
      </c>
      <c r="L48" s="243">
        <f t="shared" ref="L48:L56" si="23">K48/$K$52</f>
        <v>1.2274740190880171</v>
      </c>
      <c r="M48" s="242">
        <f t="shared" ref="M48:M53" si="24">F48/H48</f>
        <v>0.99630996309963105</v>
      </c>
      <c r="N48" s="327">
        <f>Q48*R48/1000</f>
        <v>24.92</v>
      </c>
      <c r="O48" s="904">
        <v>80</v>
      </c>
      <c r="P48" s="284" t="s">
        <v>247</v>
      </c>
      <c r="Q48" s="316">
        <v>700</v>
      </c>
      <c r="R48" s="240">
        <v>35.6</v>
      </c>
      <c r="S48" s="320">
        <f t="shared" ref="S48:S61" si="25">ROUNDDOWN(X48,0)</f>
        <v>3393</v>
      </c>
      <c r="T48" s="251">
        <f t="shared" ref="T48" si="26">S48/(Q48*R48/1000)</f>
        <v>136.1556982343499</v>
      </c>
      <c r="U48" s="251"/>
      <c r="V48" s="240">
        <v>84.221663626886453</v>
      </c>
      <c r="W48" s="240">
        <v>11.952354224617581</v>
      </c>
      <c r="X48" s="286">
        <f>P17*Y17</f>
        <v>3393.035006248957</v>
      </c>
      <c r="Y48" s="242">
        <f t="shared" ref="Y48" si="27">X48/$X$56</f>
        <v>1.2559532723015772</v>
      </c>
      <c r="Z48" s="243" t="e">
        <f t="shared" ref="Z48" si="28">S48/U48</f>
        <v>#DIV/0!</v>
      </c>
      <c r="AB48" s="292">
        <v>3300</v>
      </c>
      <c r="AC48" s="211">
        <v>127</v>
      </c>
      <c r="AD48" s="211">
        <v>3232</v>
      </c>
      <c r="AE48" s="292">
        <f t="shared" ref="AE48:AE61" si="29">AD48/($AI$45*$AI$46/1000)</f>
        <v>122.79635258358662</v>
      </c>
      <c r="AF48" s="293">
        <f t="shared" ref="AF48:AG61" si="30">S48/AB48</f>
        <v>1.0281818181818181</v>
      </c>
      <c r="AG48" s="294">
        <f t="shared" si="30"/>
        <v>1.0720921120814952</v>
      </c>
      <c r="AH48" s="293">
        <f t="shared" ref="AH48:AI61" si="31">S48/AD48</f>
        <v>1.0498143564356435</v>
      </c>
      <c r="AI48" s="294">
        <f t="shared" si="31"/>
        <v>1.1087926910668593</v>
      </c>
    </row>
    <row r="49" spans="1:35">
      <c r="A49" s="297">
        <f t="shared" ref="A49:A56" si="32">D49*E49/1000</f>
        <v>6.23</v>
      </c>
      <c r="B49" s="904"/>
      <c r="C49" s="316" t="s">
        <v>198</v>
      </c>
      <c r="D49" s="316">
        <v>175</v>
      </c>
      <c r="E49" s="240">
        <v>35.6</v>
      </c>
      <c r="F49" s="268">
        <f t="shared" ref="F49:F56" si="33">ROUNDDOWN(K49,0)</f>
        <v>771</v>
      </c>
      <c r="G49" s="251">
        <f t="shared" ref="G49:G56" si="34">F49/(D49*E49/1000)</f>
        <v>123.75601926163723</v>
      </c>
      <c r="H49" s="251">
        <v>780</v>
      </c>
      <c r="I49" s="240">
        <f t="shared" si="22"/>
        <v>82.88</v>
      </c>
      <c r="J49" s="240">
        <f t="shared" si="22"/>
        <v>6.55</v>
      </c>
      <c r="K49" s="253">
        <f>E18*0.98</f>
        <v>771.69120000000009</v>
      </c>
      <c r="L49" s="243">
        <f t="shared" si="23"/>
        <v>1.1690519618239661</v>
      </c>
      <c r="M49" s="242">
        <f t="shared" si="24"/>
        <v>0.9884615384615385</v>
      </c>
      <c r="N49" s="327">
        <f t="shared" ref="N49:N61" si="35">Q49*R49/1000</f>
        <v>24.92</v>
      </c>
      <c r="O49" s="904"/>
      <c r="P49" s="316" t="s">
        <v>196</v>
      </c>
      <c r="Q49" s="316">
        <v>700</v>
      </c>
      <c r="R49" s="240">
        <v>35.6</v>
      </c>
      <c r="S49" s="268">
        <f t="shared" si="25"/>
        <v>3363</v>
      </c>
      <c r="T49" s="251">
        <f>S49/(Q49*R49/1000)</f>
        <v>134.95184590690207</v>
      </c>
      <c r="U49" s="251">
        <v>3350</v>
      </c>
      <c r="V49" s="240">
        <v>84.12</v>
      </c>
      <c r="W49" s="240">
        <v>12.68</v>
      </c>
      <c r="X49" s="286">
        <f>P18</f>
        <v>3363.34</v>
      </c>
      <c r="Y49" s="242">
        <f>X49/$X$56</f>
        <v>1.2449614787595991</v>
      </c>
      <c r="Z49" s="243">
        <f>S49/U49</f>
        <v>1.0038805970149254</v>
      </c>
      <c r="AB49" s="292">
        <v>3315</v>
      </c>
      <c r="AC49" s="211">
        <v>126</v>
      </c>
      <c r="AD49" s="211">
        <v>3172</v>
      </c>
      <c r="AE49" s="292">
        <f t="shared" si="29"/>
        <v>120.51671732522796</v>
      </c>
      <c r="AF49" s="293">
        <f t="shared" si="30"/>
        <v>1.0144796380090497</v>
      </c>
      <c r="AG49" s="294">
        <f t="shared" si="30"/>
        <v>1.0710463960865244</v>
      </c>
      <c r="AH49" s="293">
        <f t="shared" si="31"/>
        <v>1.0602143757881464</v>
      </c>
      <c r="AI49" s="294">
        <f t="shared" si="31"/>
        <v>1.1197769811695026</v>
      </c>
    </row>
    <row r="50" spans="1:35">
      <c r="A50" s="297">
        <f t="shared" si="32"/>
        <v>6.23</v>
      </c>
      <c r="B50" s="904"/>
      <c r="C50" s="316" t="s">
        <v>200</v>
      </c>
      <c r="D50" s="316">
        <v>175</v>
      </c>
      <c r="E50" s="240">
        <v>35.6</v>
      </c>
      <c r="F50" s="268">
        <f t="shared" si="33"/>
        <v>745</v>
      </c>
      <c r="G50" s="251">
        <f t="shared" si="34"/>
        <v>119.58266452648475</v>
      </c>
      <c r="H50" s="251">
        <v>735</v>
      </c>
      <c r="I50" s="240">
        <f t="shared" si="22"/>
        <v>81.48</v>
      </c>
      <c r="J50" s="240">
        <f t="shared" si="22"/>
        <v>2.0499999999999998</v>
      </c>
      <c r="K50" s="253">
        <f>E19*0.98</f>
        <v>745.4076</v>
      </c>
      <c r="L50" s="243">
        <f t="shared" si="23"/>
        <v>1.1292343584305409</v>
      </c>
      <c r="M50" s="242">
        <f t="shared" si="24"/>
        <v>1.0136054421768708</v>
      </c>
      <c r="N50" s="327">
        <f t="shared" si="35"/>
        <v>24.92</v>
      </c>
      <c r="O50" s="904"/>
      <c r="P50" s="285" t="s">
        <v>248</v>
      </c>
      <c r="Q50" s="316">
        <v>700</v>
      </c>
      <c r="R50" s="240">
        <v>35.6</v>
      </c>
      <c r="S50" s="289">
        <f t="shared" si="25"/>
        <v>3325</v>
      </c>
      <c r="T50" s="251">
        <f t="shared" ref="T50:T61" si="36">S50/(Q50*R50/1000)</f>
        <v>133.42696629213484</v>
      </c>
      <c r="U50" s="251">
        <v>3297</v>
      </c>
      <c r="V50" s="240">
        <v>83.770479936283579</v>
      </c>
      <c r="W50" s="240">
        <v>9.8710725480912931</v>
      </c>
      <c r="X50" s="286">
        <f>P19</f>
        <v>3325.2025416782294</v>
      </c>
      <c r="Y50" s="242">
        <f t="shared" ref="Y50:Y61" si="37">X50/$X$56</f>
        <v>1.2308446584237411</v>
      </c>
      <c r="Z50" s="243">
        <f t="shared" ref="Z50:Z61" si="38">S50/U50</f>
        <v>1.0084925690021231</v>
      </c>
      <c r="AB50" s="292">
        <v>3247</v>
      </c>
      <c r="AC50" s="211">
        <v>123</v>
      </c>
      <c r="AD50" s="211">
        <v>3107</v>
      </c>
      <c r="AE50" s="292">
        <f t="shared" si="29"/>
        <v>118.04711246200608</v>
      </c>
      <c r="AF50" s="293">
        <f t="shared" si="30"/>
        <v>1.0240221743147522</v>
      </c>
      <c r="AG50" s="294">
        <f t="shared" si="30"/>
        <v>1.084772083675893</v>
      </c>
      <c r="AH50" s="293">
        <f t="shared" si="31"/>
        <v>1.0701641454779529</v>
      </c>
      <c r="AI50" s="294">
        <f t="shared" si="31"/>
        <v>1.1302857266845796</v>
      </c>
    </row>
    <row r="51" spans="1:35">
      <c r="A51" s="297">
        <f t="shared" si="32"/>
        <v>6.23</v>
      </c>
      <c r="B51" s="904">
        <v>90</v>
      </c>
      <c r="C51" s="316" t="s">
        <v>196</v>
      </c>
      <c r="D51" s="316">
        <v>175</v>
      </c>
      <c r="E51" s="240">
        <v>35.6</v>
      </c>
      <c r="F51" s="268">
        <f t="shared" si="33"/>
        <v>716</v>
      </c>
      <c r="G51" s="251">
        <f t="shared" si="34"/>
        <v>114.92776886035313</v>
      </c>
      <c r="H51" s="251">
        <v>696</v>
      </c>
      <c r="I51" s="240">
        <f t="shared" si="22"/>
        <v>92.16</v>
      </c>
      <c r="J51" s="240">
        <f t="shared" si="22"/>
        <v>57.54</v>
      </c>
      <c r="K51" s="253">
        <f>E20</f>
        <v>716.22</v>
      </c>
      <c r="L51" s="243">
        <f t="shared" si="23"/>
        <v>1.0850174216027875</v>
      </c>
      <c r="M51" s="242">
        <f t="shared" si="24"/>
        <v>1.0287356321839081</v>
      </c>
      <c r="N51" s="327">
        <f t="shared" si="35"/>
        <v>24.92</v>
      </c>
      <c r="O51" s="904"/>
      <c r="P51" s="316" t="s">
        <v>249</v>
      </c>
      <c r="Q51" s="316">
        <v>700</v>
      </c>
      <c r="R51" s="240">
        <v>35.6</v>
      </c>
      <c r="S51" s="268">
        <f t="shared" si="25"/>
        <v>3196</v>
      </c>
      <c r="T51" s="251">
        <f t="shared" si="36"/>
        <v>128.25040128410913</v>
      </c>
      <c r="U51" s="251">
        <v>3216</v>
      </c>
      <c r="V51" s="240">
        <v>82.84</v>
      </c>
      <c r="W51" s="240">
        <v>6.34</v>
      </c>
      <c r="X51" s="286">
        <f t="shared" ref="X51" si="39">P20*W20</f>
        <v>3196.2545999999998</v>
      </c>
      <c r="Y51" s="242">
        <f t="shared" si="37"/>
        <v>1.1831137658720707</v>
      </c>
      <c r="Z51" s="243">
        <f t="shared" si="38"/>
        <v>0.99378109452736318</v>
      </c>
      <c r="AB51" s="292">
        <v>3133</v>
      </c>
      <c r="AC51" s="211">
        <v>119</v>
      </c>
      <c r="AD51" s="211">
        <v>3042</v>
      </c>
      <c r="AE51" s="292">
        <f t="shared" si="29"/>
        <v>115.57750759878419</v>
      </c>
      <c r="AF51" s="293">
        <f t="shared" si="30"/>
        <v>1.0201085221832109</v>
      </c>
      <c r="AG51" s="294">
        <f t="shared" si="30"/>
        <v>1.0777344645723457</v>
      </c>
      <c r="AH51" s="293">
        <f t="shared" si="31"/>
        <v>1.0506245890861277</v>
      </c>
      <c r="AI51" s="294">
        <f t="shared" si="31"/>
        <v>1.1096484424055728</v>
      </c>
    </row>
    <row r="52" spans="1:35">
      <c r="A52" s="297">
        <f t="shared" si="32"/>
        <v>6.23</v>
      </c>
      <c r="B52" s="904"/>
      <c r="C52" s="316" t="s">
        <v>198</v>
      </c>
      <c r="D52" s="316">
        <v>175</v>
      </c>
      <c r="E52" s="240">
        <v>35.6</v>
      </c>
      <c r="F52" s="268">
        <f t="shared" si="33"/>
        <v>660</v>
      </c>
      <c r="G52" s="251">
        <f t="shared" si="34"/>
        <v>105.93900481540931</v>
      </c>
      <c r="H52" s="251">
        <v>650</v>
      </c>
      <c r="I52" s="240">
        <f t="shared" si="22"/>
        <v>93.82</v>
      </c>
      <c r="J52" s="240">
        <f t="shared" si="22"/>
        <v>58.94</v>
      </c>
      <c r="K52" s="253">
        <f>E21</f>
        <v>660.1</v>
      </c>
      <c r="L52" s="243">
        <f t="shared" si="23"/>
        <v>1</v>
      </c>
      <c r="M52" s="242">
        <f t="shared" si="24"/>
        <v>1.0153846153846153</v>
      </c>
      <c r="N52" s="327">
        <f t="shared" si="35"/>
        <v>24.92</v>
      </c>
      <c r="O52" s="904"/>
      <c r="P52" s="316" t="s">
        <v>250</v>
      </c>
      <c r="Q52" s="316">
        <v>700</v>
      </c>
      <c r="R52" s="240">
        <v>35.6</v>
      </c>
      <c r="S52" s="319">
        <f t="shared" si="25"/>
        <v>3079</v>
      </c>
      <c r="T52" s="251">
        <f t="shared" si="36"/>
        <v>123.55537720706259</v>
      </c>
      <c r="U52" s="251">
        <v>3029</v>
      </c>
      <c r="V52" s="240">
        <v>81.53</v>
      </c>
      <c r="W52" s="240">
        <v>1.8</v>
      </c>
      <c r="X52" s="286">
        <f>P21*W21*X21</f>
        <v>3079.3579244999996</v>
      </c>
      <c r="Y52" s="242">
        <f t="shared" si="37"/>
        <v>1.1398437253788225</v>
      </c>
      <c r="Z52" s="243">
        <f t="shared" si="38"/>
        <v>1.0165070980521624</v>
      </c>
      <c r="AB52" s="292">
        <v>3021</v>
      </c>
      <c r="AC52" s="211">
        <v>115</v>
      </c>
      <c r="AD52" s="211">
        <v>2877</v>
      </c>
      <c r="AE52" s="292">
        <f t="shared" si="29"/>
        <v>109.30851063829788</v>
      </c>
      <c r="AF52" s="293">
        <f t="shared" si="30"/>
        <v>1.0191989407480966</v>
      </c>
      <c r="AG52" s="294">
        <f t="shared" si="30"/>
        <v>1.07439458440924</v>
      </c>
      <c r="AH52" s="293">
        <f t="shared" si="31"/>
        <v>1.0702120264164059</v>
      </c>
      <c r="AI52" s="294">
        <f t="shared" si="31"/>
        <v>1.130336297563395</v>
      </c>
    </row>
    <row r="53" spans="1:35">
      <c r="A53" s="297">
        <f t="shared" si="32"/>
        <v>6.23</v>
      </c>
      <c r="B53" s="904"/>
      <c r="C53" s="316" t="s">
        <v>200</v>
      </c>
      <c r="D53" s="316">
        <v>175</v>
      </c>
      <c r="E53" s="240">
        <v>35.6</v>
      </c>
      <c r="F53" s="268">
        <f t="shared" si="33"/>
        <v>625</v>
      </c>
      <c r="G53" s="251">
        <f t="shared" si="34"/>
        <v>100.32102728731941</v>
      </c>
      <c r="H53" s="251">
        <v>624</v>
      </c>
      <c r="I53" s="240">
        <f t="shared" si="22"/>
        <v>94.46</v>
      </c>
      <c r="J53" s="240">
        <f t="shared" si="22"/>
        <v>59.39</v>
      </c>
      <c r="K53" s="253">
        <f>E22</f>
        <v>625.77</v>
      </c>
      <c r="L53" s="243">
        <f t="shared" si="23"/>
        <v>0.94799272837448867</v>
      </c>
      <c r="M53" s="242">
        <f t="shared" si="24"/>
        <v>1.0016025641025641</v>
      </c>
      <c r="N53" s="327">
        <f t="shared" si="35"/>
        <v>24.92</v>
      </c>
      <c r="O53" s="904">
        <v>90</v>
      </c>
      <c r="P53" s="285" t="s">
        <v>247</v>
      </c>
      <c r="Q53" s="316">
        <v>700</v>
      </c>
      <c r="R53" s="240">
        <v>35.6</v>
      </c>
      <c r="S53" s="289">
        <f t="shared" si="25"/>
        <v>2969</v>
      </c>
      <c r="T53" s="251">
        <f t="shared" si="36"/>
        <v>119.14125200642054</v>
      </c>
      <c r="U53" s="251"/>
      <c r="V53" s="240">
        <v>92.237340828447486</v>
      </c>
      <c r="W53" s="240">
        <v>58.913783694464655</v>
      </c>
      <c r="X53" s="266">
        <f>P22*X22</f>
        <v>2969.3595216989984</v>
      </c>
      <c r="Y53" s="242">
        <f t="shared" si="37"/>
        <v>1.0991271239610865</v>
      </c>
      <c r="Z53" s="243" t="e">
        <f t="shared" si="38"/>
        <v>#DIV/0!</v>
      </c>
      <c r="AB53" s="292"/>
      <c r="AD53" s="211">
        <v>2722</v>
      </c>
      <c r="AE53" s="292">
        <f t="shared" si="29"/>
        <v>103.41945288753799</v>
      </c>
      <c r="AF53" s="293" t="e">
        <f t="shared" si="30"/>
        <v>#DIV/0!</v>
      </c>
      <c r="AG53" s="294" t="e">
        <f t="shared" si="30"/>
        <v>#DIV/0!</v>
      </c>
      <c r="AH53" s="293">
        <f t="shared" si="31"/>
        <v>1.0907421013960323</v>
      </c>
      <c r="AI53" s="294">
        <f t="shared" si="31"/>
        <v>1.152019747541877</v>
      </c>
    </row>
    <row r="54" spans="1:35">
      <c r="A54" s="297">
        <f t="shared" si="32"/>
        <v>6.23</v>
      </c>
      <c r="B54" s="904">
        <v>97</v>
      </c>
      <c r="C54" s="316" t="s">
        <v>196</v>
      </c>
      <c r="D54" s="316">
        <v>175</v>
      </c>
      <c r="E54" s="240">
        <v>35.6</v>
      </c>
      <c r="F54" s="268">
        <f t="shared" si="33"/>
        <v>651</v>
      </c>
      <c r="G54" s="251">
        <f t="shared" si="34"/>
        <v>104.4943820224719</v>
      </c>
      <c r="H54" s="251"/>
      <c r="I54" s="240"/>
      <c r="J54" s="240"/>
      <c r="K54" s="266">
        <f>K52*$AD$41</f>
        <v>651.94251648065131</v>
      </c>
      <c r="L54" s="243">
        <f t="shared" si="23"/>
        <v>0.98764204890266816</v>
      </c>
      <c r="N54" s="327">
        <f t="shared" si="35"/>
        <v>24.92</v>
      </c>
      <c r="O54" s="904"/>
      <c r="P54" s="316" t="s">
        <v>251</v>
      </c>
      <c r="Q54" s="316">
        <v>700</v>
      </c>
      <c r="R54" s="240">
        <v>35.6</v>
      </c>
      <c r="S54" s="319">
        <f t="shared" si="25"/>
        <v>2891</v>
      </c>
      <c r="T54" s="251">
        <f t="shared" si="36"/>
        <v>116.01123595505616</v>
      </c>
      <c r="U54" s="251">
        <v>2868</v>
      </c>
      <c r="V54" s="240">
        <v>93.88</v>
      </c>
      <c r="W54" s="240">
        <v>63.85</v>
      </c>
      <c r="X54" s="325">
        <f>P23*Z23</f>
        <v>2891.6216999999997</v>
      </c>
      <c r="Y54" s="242">
        <f t="shared" si="37"/>
        <v>1.0703519797716987</v>
      </c>
      <c r="Z54" s="243">
        <f t="shared" si="38"/>
        <v>1.0080195258019526</v>
      </c>
      <c r="AB54" s="292">
        <v>2750</v>
      </c>
      <c r="AC54" s="211">
        <v>104</v>
      </c>
      <c r="AD54" s="211">
        <v>2671</v>
      </c>
      <c r="AE54" s="292">
        <f t="shared" si="29"/>
        <v>101.48176291793312</v>
      </c>
      <c r="AF54" s="293">
        <f t="shared" si="30"/>
        <v>1.0512727272727274</v>
      </c>
      <c r="AG54" s="294">
        <f t="shared" si="30"/>
        <v>1.1154926534140015</v>
      </c>
      <c r="AH54" s="293">
        <f t="shared" si="31"/>
        <v>1.082366154998128</v>
      </c>
      <c r="AI54" s="294">
        <f t="shared" si="31"/>
        <v>1.1431732423575733</v>
      </c>
    </row>
    <row r="55" spans="1:35">
      <c r="A55" s="297">
        <f t="shared" si="32"/>
        <v>6.23</v>
      </c>
      <c r="B55" s="904"/>
      <c r="C55" s="316" t="s">
        <v>198</v>
      </c>
      <c r="D55" s="316">
        <v>175</v>
      </c>
      <c r="E55" s="240">
        <v>35.6</v>
      </c>
      <c r="F55" s="268">
        <f t="shared" si="33"/>
        <v>586</v>
      </c>
      <c r="G55" s="251">
        <f t="shared" si="34"/>
        <v>94.060995184590681</v>
      </c>
      <c r="H55" s="251"/>
      <c r="I55" s="240">
        <f>G24</f>
        <v>97.675708323579642</v>
      </c>
      <c r="J55" s="240">
        <f>H24</f>
        <v>89.00569196817122</v>
      </c>
      <c r="K55" s="253">
        <f t="shared" ref="K55:K56" si="40">E24</f>
        <v>586.62250225407638</v>
      </c>
      <c r="L55" s="243">
        <f t="shared" si="23"/>
        <v>0.88868732351776447</v>
      </c>
      <c r="N55" s="327">
        <f t="shared" si="35"/>
        <v>24.92</v>
      </c>
      <c r="O55" s="904"/>
      <c r="P55" s="284" t="s">
        <v>248</v>
      </c>
      <c r="Q55" s="316">
        <v>700</v>
      </c>
      <c r="R55" s="240">
        <v>35.6</v>
      </c>
      <c r="S55" s="289">
        <f t="shared" si="25"/>
        <v>2850</v>
      </c>
      <c r="T55" s="251">
        <f t="shared" si="36"/>
        <v>114.36597110754413</v>
      </c>
      <c r="U55" s="251">
        <v>2761</v>
      </c>
      <c r="V55" s="240">
        <v>93.224936909791651</v>
      </c>
      <c r="W55" s="240">
        <v>57.992813080397433</v>
      </c>
      <c r="X55" s="266">
        <f>P24*X24</f>
        <v>2850.7229036284416</v>
      </c>
      <c r="Y55" s="242">
        <f t="shared" si="37"/>
        <v>1.0552130327695453</v>
      </c>
      <c r="Z55" s="243">
        <f t="shared" si="38"/>
        <v>1.032234697573343</v>
      </c>
      <c r="AB55" s="292">
        <v>2680</v>
      </c>
      <c r="AC55" s="211">
        <v>102</v>
      </c>
      <c r="AD55" s="211">
        <v>2616</v>
      </c>
      <c r="AE55" s="292">
        <f t="shared" si="29"/>
        <v>99.392097264437695</v>
      </c>
      <c r="AF55" s="293">
        <f t="shared" si="30"/>
        <v>1.0634328358208955</v>
      </c>
      <c r="AG55" s="294">
        <f t="shared" si="30"/>
        <v>1.1212350108582758</v>
      </c>
      <c r="AH55" s="293">
        <f t="shared" si="31"/>
        <v>1.0894495412844036</v>
      </c>
      <c r="AI55" s="294">
        <f t="shared" si="31"/>
        <v>1.1506545716936396</v>
      </c>
    </row>
    <row r="56" spans="1:35">
      <c r="A56" s="297">
        <f t="shared" si="32"/>
        <v>6.23</v>
      </c>
      <c r="B56" s="904"/>
      <c r="C56" s="316" t="s">
        <v>200</v>
      </c>
      <c r="D56" s="316">
        <v>175</v>
      </c>
      <c r="E56" s="240">
        <v>35.6</v>
      </c>
      <c r="F56" s="268">
        <f t="shared" si="33"/>
        <v>562</v>
      </c>
      <c r="G56" s="251">
        <f t="shared" si="34"/>
        <v>90.208667736757619</v>
      </c>
      <c r="H56" s="251"/>
      <c r="I56" s="240">
        <f>G25</f>
        <v>97.01542965096732</v>
      </c>
      <c r="J56" s="240">
        <f>H25</f>
        <v>87.192926671728188</v>
      </c>
      <c r="K56" s="253">
        <f t="shared" si="40"/>
        <v>562.65067889417594</v>
      </c>
      <c r="L56" s="243">
        <f t="shared" si="23"/>
        <v>0.85237188137278586</v>
      </c>
      <c r="N56" s="327">
        <f t="shared" si="35"/>
        <v>24.92</v>
      </c>
      <c r="O56" s="904"/>
      <c r="P56" s="316" t="s">
        <v>249</v>
      </c>
      <c r="Q56" s="316">
        <v>700</v>
      </c>
      <c r="R56" s="240">
        <v>35.6</v>
      </c>
      <c r="S56" s="319">
        <f t="shared" si="25"/>
        <v>2701</v>
      </c>
      <c r="T56" s="251">
        <f t="shared" si="36"/>
        <v>108.38683788121989</v>
      </c>
      <c r="U56" s="251">
        <v>2680</v>
      </c>
      <c r="V56" s="240">
        <v>93.83</v>
      </c>
      <c r="W56" s="240">
        <v>56.35</v>
      </c>
      <c r="X56" s="325">
        <f>P25*Z25</f>
        <v>2701.5614999999998</v>
      </c>
      <c r="Y56" s="242">
        <f t="shared" si="37"/>
        <v>1</v>
      </c>
      <c r="Z56" s="243">
        <f t="shared" si="38"/>
        <v>1.0078358208955225</v>
      </c>
      <c r="AB56" s="292">
        <v>2539</v>
      </c>
      <c r="AC56" s="211">
        <v>96</v>
      </c>
      <c r="AD56" s="211">
        <v>2565</v>
      </c>
      <c r="AE56" s="292">
        <f t="shared" si="29"/>
        <v>97.454407294832819</v>
      </c>
      <c r="AF56" s="293">
        <f t="shared" si="30"/>
        <v>1.0638046474990153</v>
      </c>
      <c r="AG56" s="294">
        <f t="shared" si="30"/>
        <v>1.1290295612627073</v>
      </c>
      <c r="AH56" s="293">
        <f t="shared" si="31"/>
        <v>1.0530214424951267</v>
      </c>
      <c r="AI56" s="294">
        <f t="shared" si="31"/>
        <v>1.1121799505004708</v>
      </c>
    </row>
    <row r="57" spans="1:35">
      <c r="N57" s="327">
        <f t="shared" si="35"/>
        <v>24.92</v>
      </c>
      <c r="O57" s="904"/>
      <c r="P57" s="316" t="s">
        <v>250</v>
      </c>
      <c r="Q57" s="316">
        <v>700</v>
      </c>
      <c r="R57" s="240">
        <v>35.6</v>
      </c>
      <c r="S57" s="319">
        <f t="shared" si="25"/>
        <v>2535</v>
      </c>
      <c r="T57" s="251">
        <f t="shared" si="36"/>
        <v>101.72552166934189</v>
      </c>
      <c r="U57" s="251">
        <v>2573</v>
      </c>
      <c r="V57" s="240">
        <v>94.19</v>
      </c>
      <c r="W57" s="240">
        <v>58.24</v>
      </c>
      <c r="X57" s="325">
        <f>P26*Z26</f>
        <v>2535.2712000000001</v>
      </c>
      <c r="Y57" s="242">
        <f t="shared" si="37"/>
        <v>0.93844659838393474</v>
      </c>
      <c r="Z57" s="243">
        <f t="shared" si="38"/>
        <v>0.98523124757092884</v>
      </c>
      <c r="AB57" s="292">
        <v>2414</v>
      </c>
      <c r="AC57" s="211">
        <v>92</v>
      </c>
      <c r="AD57" s="211">
        <v>2425</v>
      </c>
      <c r="AE57" s="292">
        <f t="shared" si="29"/>
        <v>92.135258358662611</v>
      </c>
      <c r="AF57" s="293">
        <f t="shared" si="30"/>
        <v>1.0501242750621376</v>
      </c>
      <c r="AG57" s="294">
        <f t="shared" si="30"/>
        <v>1.1057121920580639</v>
      </c>
      <c r="AH57" s="293">
        <f t="shared" si="31"/>
        <v>1.0453608247422681</v>
      </c>
      <c r="AI57" s="294">
        <f t="shared" si="31"/>
        <v>1.1040889609637436</v>
      </c>
    </row>
    <row r="58" spans="1:35">
      <c r="N58" s="327">
        <f t="shared" si="35"/>
        <v>24.92</v>
      </c>
      <c r="O58" s="904"/>
      <c r="P58" s="285" t="s">
        <v>252</v>
      </c>
      <c r="Q58" s="316">
        <v>700</v>
      </c>
      <c r="R58" s="240">
        <v>35.6</v>
      </c>
      <c r="S58" s="289">
        <f t="shared" si="25"/>
        <v>2399</v>
      </c>
      <c r="T58" s="251">
        <f t="shared" si="36"/>
        <v>96.268057784911704</v>
      </c>
      <c r="U58" s="251"/>
      <c r="V58" s="240">
        <v>93.312668540445486</v>
      </c>
      <c r="W58" s="240">
        <v>54.521926358068363</v>
      </c>
      <c r="X58" s="266">
        <f>P27*X27</f>
        <v>2399.7596653270562</v>
      </c>
      <c r="Y58" s="242">
        <f t="shared" si="37"/>
        <v>0.88828615055665261</v>
      </c>
      <c r="Z58" s="243" t="e">
        <f t="shared" si="38"/>
        <v>#DIV/0!</v>
      </c>
      <c r="AD58" s="211">
        <v>2255</v>
      </c>
      <c r="AE58" s="292">
        <f t="shared" si="29"/>
        <v>85.676291793313069</v>
      </c>
      <c r="AF58" s="293" t="e">
        <f t="shared" si="30"/>
        <v>#DIV/0!</v>
      </c>
      <c r="AG58" s="294" t="e">
        <f t="shared" si="30"/>
        <v>#DIV/0!</v>
      </c>
      <c r="AH58" s="293">
        <f t="shared" si="31"/>
        <v>1.0638580931263859</v>
      </c>
      <c r="AI58" s="294">
        <f t="shared" si="31"/>
        <v>1.1236254017289915</v>
      </c>
    </row>
    <row r="59" spans="1:35">
      <c r="N59" s="327">
        <f t="shared" si="35"/>
        <v>24.92</v>
      </c>
      <c r="O59" s="904">
        <v>97</v>
      </c>
      <c r="P59" s="316" t="s">
        <v>251</v>
      </c>
      <c r="Q59" s="316">
        <v>700</v>
      </c>
      <c r="R59" s="240">
        <v>35.6</v>
      </c>
      <c r="S59" s="319">
        <f t="shared" si="25"/>
        <v>2696</v>
      </c>
      <c r="T59" s="251">
        <f t="shared" si="36"/>
        <v>108.18619582664526</v>
      </c>
      <c r="U59" s="251"/>
      <c r="V59" s="240">
        <v>97.371326019658497</v>
      </c>
      <c r="W59" s="240">
        <v>87.456817118458574</v>
      </c>
      <c r="X59" s="266">
        <f>P28</f>
        <v>2696.9388526048219</v>
      </c>
      <c r="Y59" s="242">
        <f t="shared" si="37"/>
        <v>0.99828889795950315</v>
      </c>
      <c r="Z59" s="243" t="e">
        <f t="shared" si="38"/>
        <v>#DIV/0!</v>
      </c>
      <c r="AD59" s="211">
        <v>2379</v>
      </c>
      <c r="AE59" s="292">
        <f t="shared" si="29"/>
        <v>90.387537993920972</v>
      </c>
      <c r="AF59" s="293" t="e">
        <f t="shared" si="30"/>
        <v>#DIV/0!</v>
      </c>
      <c r="AG59" s="294" t="e">
        <f t="shared" si="30"/>
        <v>#DIV/0!</v>
      </c>
      <c r="AH59" s="293">
        <f t="shared" si="31"/>
        <v>1.1332492643968053</v>
      </c>
      <c r="AI59" s="294">
        <f t="shared" si="31"/>
        <v>1.1969149534078618</v>
      </c>
    </row>
    <row r="60" spans="1:35">
      <c r="N60" s="327">
        <f t="shared" si="35"/>
        <v>24.92</v>
      </c>
      <c r="O60" s="904"/>
      <c r="P60" s="316" t="s">
        <v>249</v>
      </c>
      <c r="Q60" s="316">
        <v>700</v>
      </c>
      <c r="R60" s="240">
        <v>35.6</v>
      </c>
      <c r="S60" s="268">
        <f t="shared" si="25"/>
        <v>2446</v>
      </c>
      <c r="T60" s="251">
        <f t="shared" si="36"/>
        <v>98.154093097913318</v>
      </c>
      <c r="U60" s="251"/>
      <c r="V60" s="240">
        <v>98.16515912702333</v>
      </c>
      <c r="W60" s="240">
        <v>89.320201868266707</v>
      </c>
      <c r="X60" s="241">
        <f>P29</f>
        <v>2446.0835573679328</v>
      </c>
      <c r="Y60" s="242">
        <f t="shared" si="37"/>
        <v>0.90543323088070848</v>
      </c>
      <c r="Z60" s="243" t="e">
        <f t="shared" si="38"/>
        <v>#DIV/0!</v>
      </c>
      <c r="AD60" s="211">
        <v>2282</v>
      </c>
      <c r="AE60" s="292">
        <f t="shared" si="29"/>
        <v>86.702127659574472</v>
      </c>
      <c r="AF60" s="293" t="e">
        <f t="shared" si="30"/>
        <v>#DIV/0!</v>
      </c>
      <c r="AG60" s="294" t="e">
        <f t="shared" si="30"/>
        <v>#DIV/0!</v>
      </c>
      <c r="AH60" s="293">
        <f t="shared" si="31"/>
        <v>1.0718667835232252</v>
      </c>
      <c r="AI60" s="294">
        <f t="shared" si="31"/>
        <v>1.1320840185526198</v>
      </c>
    </row>
    <row r="61" spans="1:35">
      <c r="N61" s="327">
        <f t="shared" si="35"/>
        <v>24.92</v>
      </c>
      <c r="O61" s="904"/>
      <c r="P61" s="316" t="s">
        <v>250</v>
      </c>
      <c r="Q61" s="316">
        <v>700</v>
      </c>
      <c r="R61" s="240">
        <v>35.6</v>
      </c>
      <c r="S61" s="268">
        <f t="shared" si="25"/>
        <v>2319</v>
      </c>
      <c r="T61" s="251">
        <f t="shared" si="36"/>
        <v>93.057784911717491</v>
      </c>
      <c r="U61" s="251"/>
      <c r="V61" s="240">
        <v>97.162921371870695</v>
      </c>
      <c r="W61" s="240">
        <v>88.249243397269879</v>
      </c>
      <c r="X61" s="241">
        <f>P30</f>
        <v>2319.5404407664237</v>
      </c>
      <c r="Y61" s="242">
        <f t="shared" si="37"/>
        <v>0.85859249947351701</v>
      </c>
      <c r="Z61" s="243" t="e">
        <f t="shared" si="38"/>
        <v>#DIV/0!</v>
      </c>
      <c r="AD61" s="211">
        <v>2158</v>
      </c>
      <c r="AE61" s="292">
        <f t="shared" si="29"/>
        <v>81.99088145896657</v>
      </c>
      <c r="AF61" s="293" t="e">
        <f t="shared" si="30"/>
        <v>#DIV/0!</v>
      </c>
      <c r="AG61" s="294" t="e">
        <f t="shared" si="30"/>
        <v>#DIV/0!</v>
      </c>
      <c r="AH61" s="293">
        <f t="shared" si="31"/>
        <v>1.0746061167747916</v>
      </c>
      <c r="AI61" s="294">
        <f t="shared" si="31"/>
        <v>1.1349772469306785</v>
      </c>
    </row>
  </sheetData>
  <sheetProtection password="A7EA" sheet="1" objects="1" scenarios="1"/>
  <mergeCells count="27">
    <mergeCell ref="M28:M30"/>
    <mergeCell ref="B5:B7"/>
    <mergeCell ref="M5:M7"/>
    <mergeCell ref="B8:B10"/>
    <mergeCell ref="M8:M10"/>
    <mergeCell ref="B11:B13"/>
    <mergeCell ref="M11:M13"/>
    <mergeCell ref="B17:B19"/>
    <mergeCell ref="M17:M21"/>
    <mergeCell ref="B20:B22"/>
    <mergeCell ref="M22:M27"/>
    <mergeCell ref="B23:B25"/>
    <mergeCell ref="B35:B37"/>
    <mergeCell ref="O35:O37"/>
    <mergeCell ref="AB35:AB37"/>
    <mergeCell ref="B38:B40"/>
    <mergeCell ref="O38:O40"/>
    <mergeCell ref="AB38:AB40"/>
    <mergeCell ref="O59:O61"/>
    <mergeCell ref="B41:B43"/>
    <mergeCell ref="O41:O43"/>
    <mergeCell ref="AB41:AB43"/>
    <mergeCell ref="B48:B50"/>
    <mergeCell ref="O48:O52"/>
    <mergeCell ref="B51:B53"/>
    <mergeCell ref="O53:O58"/>
    <mergeCell ref="B54:B56"/>
  </mergeCells>
  <phoneticPr fontId="7"/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2:AI71"/>
  <sheetViews>
    <sheetView topLeftCell="A40" zoomScale="60" zoomScaleNormal="60" workbookViewId="0">
      <selection activeCell="R48" sqref="R48"/>
    </sheetView>
  </sheetViews>
  <sheetFormatPr defaultRowHeight="18.75"/>
  <cols>
    <col min="1" max="1" width="9" style="211" customWidth="1"/>
    <col min="2" max="10" width="9" style="211"/>
    <col min="11" max="11" width="11.75" style="211" bestFit="1" customWidth="1"/>
    <col min="12" max="12" width="9.875" style="211" customWidth="1"/>
    <col min="13" max="14" width="9" style="211"/>
    <col min="15" max="15" width="9.125" style="211" bestFit="1" customWidth="1"/>
    <col min="16" max="16" width="10.25" style="211" bestFit="1" customWidth="1"/>
    <col min="17" max="17" width="9" style="211"/>
    <col min="18" max="19" width="9.125" style="211" bestFit="1" customWidth="1"/>
    <col min="20" max="21" width="9" style="211"/>
    <col min="22" max="22" width="11.75" style="211" bestFit="1" customWidth="1"/>
    <col min="23" max="16384" width="9" style="211"/>
  </cols>
  <sheetData>
    <row r="2" spans="1:26">
      <c r="P2" s="297"/>
      <c r="Y2" s="298"/>
    </row>
    <row r="3" spans="1:26">
      <c r="B3" s="211" t="s">
        <v>179</v>
      </c>
      <c r="M3" s="211" t="s">
        <v>180</v>
      </c>
    </row>
    <row r="4" spans="1:26">
      <c r="B4" s="328" t="s">
        <v>181</v>
      </c>
      <c r="C4" s="328" t="s">
        <v>182</v>
      </c>
      <c r="D4" s="328" t="s">
        <v>183</v>
      </c>
      <c r="E4" s="328" t="s">
        <v>184</v>
      </c>
      <c r="F4" s="328" t="s">
        <v>185</v>
      </c>
      <c r="G4" s="328" t="s">
        <v>181</v>
      </c>
      <c r="H4" s="328" t="s">
        <v>186</v>
      </c>
      <c r="I4" s="237" t="s">
        <v>187</v>
      </c>
      <c r="J4" s="238" t="s">
        <v>188</v>
      </c>
      <c r="K4" s="238" t="s">
        <v>189</v>
      </c>
      <c r="L4" s="665" t="s">
        <v>253</v>
      </c>
      <c r="M4" s="328" t="s">
        <v>181</v>
      </c>
      <c r="N4" s="328" t="s">
        <v>182</v>
      </c>
      <c r="O4" s="328" t="s">
        <v>183</v>
      </c>
      <c r="P4" s="328" t="s">
        <v>184</v>
      </c>
      <c r="Q4" s="328" t="s">
        <v>185</v>
      </c>
      <c r="R4" s="328" t="s">
        <v>181</v>
      </c>
      <c r="S4" s="328" t="s">
        <v>186</v>
      </c>
      <c r="T4" s="237" t="s">
        <v>187</v>
      </c>
      <c r="U4" s="238" t="s">
        <v>188</v>
      </c>
      <c r="V4" s="238" t="s">
        <v>189</v>
      </c>
      <c r="W4" s="665" t="s">
        <v>253</v>
      </c>
    </row>
    <row r="5" spans="1:26">
      <c r="B5" s="904">
        <v>80</v>
      </c>
      <c r="C5" s="328" t="s">
        <v>196</v>
      </c>
      <c r="D5" s="240">
        <v>21.330763823851658</v>
      </c>
      <c r="E5" s="664">
        <v>477.87339226696986</v>
      </c>
      <c r="F5" s="240"/>
      <c r="G5" s="240">
        <v>84.476422966096393</v>
      </c>
      <c r="H5" s="240">
        <v>13.385230494575859</v>
      </c>
      <c r="I5" s="241">
        <v>32</v>
      </c>
      <c r="J5" s="242">
        <f t="shared" ref="J5:J8" si="0">E5/$E$9</f>
        <v>1.227835026379676</v>
      </c>
      <c r="K5" s="242"/>
      <c r="L5" s="244">
        <v>1</v>
      </c>
      <c r="M5" s="904">
        <v>80</v>
      </c>
      <c r="N5" s="328" t="s">
        <v>196</v>
      </c>
      <c r="O5" s="240">
        <v>35.487000000000002</v>
      </c>
      <c r="P5" s="240">
        <v>1658.87</v>
      </c>
      <c r="Q5" s="240">
        <v>1638</v>
      </c>
      <c r="R5" s="240">
        <v>84.48</v>
      </c>
      <c r="S5" s="240">
        <v>14.31</v>
      </c>
      <c r="T5" s="241">
        <v>32</v>
      </c>
      <c r="U5" s="242">
        <f t="shared" ref="U5:U8" si="1">P5/$P$9</f>
        <v>1.2355929299775803</v>
      </c>
      <c r="V5" s="243">
        <f>P5/Q5</f>
        <v>1.0127411477411477</v>
      </c>
      <c r="W5" s="244">
        <v>1</v>
      </c>
    </row>
    <row r="6" spans="1:26">
      <c r="B6" s="904"/>
      <c r="C6" s="328" t="s">
        <v>198</v>
      </c>
      <c r="D6" s="240">
        <v>21.280026456840233</v>
      </c>
      <c r="E6" s="664">
        <v>456.03338156119264</v>
      </c>
      <c r="F6" s="240"/>
      <c r="G6" s="240">
        <v>83.204503509081491</v>
      </c>
      <c r="H6" s="240">
        <v>8.0519831021613868</v>
      </c>
      <c r="I6" s="241">
        <v>32</v>
      </c>
      <c r="J6" s="242">
        <f t="shared" si="0"/>
        <v>1.1717198909588711</v>
      </c>
      <c r="K6" s="242"/>
      <c r="L6" s="283">
        <v>0.99</v>
      </c>
      <c r="M6" s="904"/>
      <c r="N6" s="328" t="s">
        <v>198</v>
      </c>
      <c r="O6" s="240">
        <v>35.417000000000002</v>
      </c>
      <c r="P6" s="240">
        <v>1592.48</v>
      </c>
      <c r="Q6" s="240">
        <v>1572</v>
      </c>
      <c r="R6" s="240">
        <v>82.71</v>
      </c>
      <c r="S6" s="240">
        <v>5.81</v>
      </c>
      <c r="T6" s="241">
        <v>31</v>
      </c>
      <c r="U6" s="242">
        <f t="shared" si="1"/>
        <v>1.1861429944062507</v>
      </c>
      <c r="V6" s="243">
        <f t="shared" ref="V6:V10" si="2">P6/Q6</f>
        <v>1.013027989821883</v>
      </c>
      <c r="W6" s="283">
        <v>0.99</v>
      </c>
    </row>
    <row r="7" spans="1:26">
      <c r="B7" s="904"/>
      <c r="C7" s="328" t="s">
        <v>200</v>
      </c>
      <c r="D7" s="664">
        <v>21.293816690903999</v>
      </c>
      <c r="E7" s="664">
        <v>439.91652740565922</v>
      </c>
      <c r="F7" s="240"/>
      <c r="G7" s="240">
        <v>81.843295378226685</v>
      </c>
      <c r="H7" s="240">
        <v>3.3639841277043443</v>
      </c>
      <c r="I7" s="241">
        <v>32</v>
      </c>
      <c r="J7" s="242">
        <f t="shared" si="0"/>
        <v>1.1303096798706558</v>
      </c>
      <c r="K7" s="242"/>
      <c r="L7" s="283">
        <v>0.98</v>
      </c>
      <c r="M7" s="904"/>
      <c r="N7" s="328" t="s">
        <v>200</v>
      </c>
      <c r="O7" s="240">
        <v>35.631999999999998</v>
      </c>
      <c r="P7" s="240">
        <v>1533.64</v>
      </c>
      <c r="Q7" s="240">
        <v>1480</v>
      </c>
      <c r="R7" s="240">
        <v>81.44</v>
      </c>
      <c r="S7" s="240">
        <v>1.83</v>
      </c>
      <c r="T7" s="241">
        <v>32</v>
      </c>
      <c r="U7" s="242">
        <f t="shared" si="1"/>
        <v>1.1423166017414363</v>
      </c>
      <c r="V7" s="243">
        <f t="shared" si="2"/>
        <v>1.0362432432432434</v>
      </c>
      <c r="W7" s="283">
        <v>0.98</v>
      </c>
    </row>
    <row r="8" spans="1:26">
      <c r="B8" s="904">
        <v>90</v>
      </c>
      <c r="C8" s="328" t="s">
        <v>196</v>
      </c>
      <c r="D8" s="240">
        <v>21.27834027488267</v>
      </c>
      <c r="E8" s="664">
        <v>416.73304362781477</v>
      </c>
      <c r="F8" s="240"/>
      <c r="G8" s="240">
        <v>94.145130864703887</v>
      </c>
      <c r="H8" s="240">
        <v>63.468100903174289</v>
      </c>
      <c r="I8" s="241">
        <v>32</v>
      </c>
      <c r="J8" s="242">
        <f t="shared" si="0"/>
        <v>1.070742660914221</v>
      </c>
      <c r="K8" s="242"/>
      <c r="L8" s="244">
        <v>1</v>
      </c>
      <c r="M8" s="904">
        <v>90</v>
      </c>
      <c r="N8" s="328" t="s">
        <v>196</v>
      </c>
      <c r="O8" s="240">
        <v>35.499000000000002</v>
      </c>
      <c r="P8" s="240">
        <v>1424.78</v>
      </c>
      <c r="Q8" s="240">
        <v>1402</v>
      </c>
      <c r="R8" s="240">
        <v>93.91</v>
      </c>
      <c r="S8" s="240">
        <v>63.33</v>
      </c>
      <c r="T8" s="241">
        <v>32</v>
      </c>
      <c r="U8" s="242">
        <f t="shared" si="1"/>
        <v>1.061233306270809</v>
      </c>
      <c r="V8" s="243">
        <f t="shared" si="2"/>
        <v>1.0162482168330955</v>
      </c>
      <c r="W8" s="244">
        <v>1</v>
      </c>
    </row>
    <row r="9" spans="1:26">
      <c r="B9" s="904"/>
      <c r="C9" s="328" t="s">
        <v>198</v>
      </c>
      <c r="D9" s="240">
        <v>21.28</v>
      </c>
      <c r="E9" s="664">
        <v>389.2</v>
      </c>
      <c r="F9" s="240"/>
      <c r="G9" s="240">
        <v>94.45</v>
      </c>
      <c r="H9" s="240">
        <v>58.7</v>
      </c>
      <c r="I9" s="241">
        <v>86</v>
      </c>
      <c r="J9" s="242">
        <f>E9/$E$9</f>
        <v>1</v>
      </c>
      <c r="K9" s="242"/>
      <c r="L9" s="244">
        <v>1</v>
      </c>
      <c r="M9" s="904"/>
      <c r="N9" s="328" t="s">
        <v>198</v>
      </c>
      <c r="O9" s="240">
        <v>35.496000000000002</v>
      </c>
      <c r="P9" s="240">
        <v>1342.57</v>
      </c>
      <c r="Q9" s="240">
        <v>1310</v>
      </c>
      <c r="R9" s="240">
        <v>94.15</v>
      </c>
      <c r="S9" s="240">
        <v>58.43</v>
      </c>
      <c r="T9" s="241">
        <v>309</v>
      </c>
      <c r="U9" s="242">
        <f>P9/$P$9</f>
        <v>1</v>
      </c>
      <c r="V9" s="243">
        <f t="shared" si="2"/>
        <v>1.0248625954198474</v>
      </c>
      <c r="W9" s="244">
        <v>1</v>
      </c>
    </row>
    <row r="10" spans="1:26">
      <c r="B10" s="904"/>
      <c r="C10" s="328" t="s">
        <v>200</v>
      </c>
      <c r="D10" s="240">
        <v>21.268678907990676</v>
      </c>
      <c r="E10" s="664">
        <v>368.62767112098339</v>
      </c>
      <c r="F10" s="240"/>
      <c r="G10" s="240">
        <v>93.756343591588163</v>
      </c>
      <c r="H10" s="240">
        <v>57.227037790973888</v>
      </c>
      <c r="I10" s="241">
        <v>32</v>
      </c>
      <c r="J10" s="242">
        <f>E10/$E$9</f>
        <v>0.94714201212996763</v>
      </c>
      <c r="K10" s="242"/>
      <c r="L10" s="244">
        <v>1</v>
      </c>
      <c r="M10" s="904"/>
      <c r="N10" s="328" t="s">
        <v>200</v>
      </c>
      <c r="O10" s="240">
        <v>35.371000000000002</v>
      </c>
      <c r="P10" s="240">
        <v>1246.77</v>
      </c>
      <c r="Q10" s="240">
        <v>1258</v>
      </c>
      <c r="R10" s="240">
        <v>93.88</v>
      </c>
      <c r="S10" s="240">
        <v>57.55</v>
      </c>
      <c r="T10" s="241">
        <v>31</v>
      </c>
      <c r="U10" s="242">
        <f>P10/$P$9</f>
        <v>0.92864431649746382</v>
      </c>
      <c r="V10" s="243">
        <f t="shared" si="2"/>
        <v>0.99107313195548485</v>
      </c>
      <c r="W10" s="244">
        <v>1</v>
      </c>
    </row>
    <row r="11" spans="1:26">
      <c r="A11" s="298">
        <f>E11/E12</f>
        <v>1.1004831988106383</v>
      </c>
      <c r="B11" s="904">
        <v>97</v>
      </c>
      <c r="C11" s="328" t="s">
        <v>196</v>
      </c>
      <c r="D11" s="240">
        <v>21.314221011673379</v>
      </c>
      <c r="E11" s="664">
        <v>378.27807950172325</v>
      </c>
      <c r="F11" s="264"/>
      <c r="G11" s="240">
        <v>97.402499893981755</v>
      </c>
      <c r="H11" s="240">
        <v>88.665831994943332</v>
      </c>
      <c r="I11" s="246">
        <v>32</v>
      </c>
      <c r="J11" s="242">
        <f t="shared" ref="J11:J13" si="3">E11/$E$9</f>
        <v>0.97193751156660657</v>
      </c>
      <c r="K11" s="239"/>
      <c r="L11" s="244">
        <v>1</v>
      </c>
      <c r="M11" s="904">
        <v>97</v>
      </c>
      <c r="N11" s="328" t="s">
        <v>196</v>
      </c>
      <c r="O11" s="674">
        <v>35.699045640145194</v>
      </c>
      <c r="P11" s="696">
        <v>1363.87757777464</v>
      </c>
      <c r="Q11" s="675"/>
      <c r="R11" s="240">
        <v>96.636404524984869</v>
      </c>
      <c r="S11" s="240">
        <v>84.244501957246683</v>
      </c>
      <c r="T11" s="246"/>
      <c r="U11" s="242">
        <f>P11/$P$9</f>
        <v>1.0158707387880259</v>
      </c>
      <c r="W11" s="244">
        <v>1</v>
      </c>
    </row>
    <row r="12" spans="1:26">
      <c r="B12" s="904"/>
      <c r="C12" s="328" t="s">
        <v>198</v>
      </c>
      <c r="D12" s="240">
        <v>21.377521193810082</v>
      </c>
      <c r="E12" s="664">
        <v>343.738168752192</v>
      </c>
      <c r="F12" s="264"/>
      <c r="G12" s="240">
        <v>97.485603598564921</v>
      </c>
      <c r="H12" s="240">
        <v>90.411251171358543</v>
      </c>
      <c r="I12" s="246">
        <v>32</v>
      </c>
      <c r="J12" s="242">
        <f t="shared" si="3"/>
        <v>0.88319159494396715</v>
      </c>
      <c r="K12" s="239"/>
      <c r="L12" s="244">
        <v>1</v>
      </c>
      <c r="M12" s="904"/>
      <c r="N12" s="328" t="s">
        <v>198</v>
      </c>
      <c r="O12" s="240">
        <v>35.540363820633274</v>
      </c>
      <c r="P12" s="240">
        <v>1187.1670574869656</v>
      </c>
      <c r="Q12" s="240"/>
      <c r="R12" s="240">
        <v>97.412860609534931</v>
      </c>
      <c r="S12" s="240">
        <v>89.501509701449493</v>
      </c>
      <c r="T12" s="246"/>
      <c r="U12" s="242">
        <f t="shared" ref="U12:U13" si="4">P12/$P$9</f>
        <v>0.8842496536396357</v>
      </c>
      <c r="W12" s="244">
        <v>1</v>
      </c>
    </row>
    <row r="13" spans="1:26">
      <c r="B13" s="904"/>
      <c r="C13" s="328" t="s">
        <v>200</v>
      </c>
      <c r="D13" s="664">
        <v>21.359040031922028</v>
      </c>
      <c r="E13" s="664">
        <v>326.91843773828589</v>
      </c>
      <c r="F13" s="264"/>
      <c r="G13" s="664">
        <v>96.343175696142993</v>
      </c>
      <c r="H13" s="664">
        <v>89.221735618150291</v>
      </c>
      <c r="I13" s="246">
        <v>32</v>
      </c>
      <c r="J13" s="242">
        <f t="shared" si="3"/>
        <v>0.83997543098223504</v>
      </c>
      <c r="K13" s="239"/>
      <c r="L13" s="244">
        <v>1</v>
      </c>
      <c r="M13" s="904"/>
      <c r="N13" s="328" t="s">
        <v>200</v>
      </c>
      <c r="O13" s="240">
        <v>35.661023034931375</v>
      </c>
      <c r="P13" s="240">
        <v>1130.4835265341935</v>
      </c>
      <c r="Q13" s="240"/>
      <c r="R13" s="240">
        <v>96.517215821554757</v>
      </c>
      <c r="S13" s="240">
        <v>87.487573837820264</v>
      </c>
      <c r="T13" s="246"/>
      <c r="U13" s="242">
        <f t="shared" si="4"/>
        <v>0.8420294856388818</v>
      </c>
      <c r="W13" s="244">
        <v>1</v>
      </c>
    </row>
    <row r="14" spans="1:26">
      <c r="I14" s="246"/>
      <c r="J14" s="239"/>
      <c r="K14" s="239"/>
      <c r="O14" s="247"/>
      <c r="T14" s="246"/>
      <c r="U14" s="239"/>
    </row>
    <row r="15" spans="1:26">
      <c r="B15" s="211" t="s">
        <v>202</v>
      </c>
      <c r="I15" s="246"/>
      <c r="J15" s="239"/>
      <c r="K15" s="239"/>
      <c r="M15" s="288" t="s">
        <v>246</v>
      </c>
      <c r="T15" s="246"/>
      <c r="U15" s="239"/>
    </row>
    <row r="16" spans="1:26">
      <c r="B16" s="328" t="s">
        <v>181</v>
      </c>
      <c r="C16" s="328" t="s">
        <v>182</v>
      </c>
      <c r="D16" s="328" t="s">
        <v>183</v>
      </c>
      <c r="E16" s="328" t="s">
        <v>184</v>
      </c>
      <c r="F16" s="328" t="s">
        <v>185</v>
      </c>
      <c r="G16" s="328" t="s">
        <v>181</v>
      </c>
      <c r="H16" s="328" t="s">
        <v>186</v>
      </c>
      <c r="I16" s="237" t="s">
        <v>187</v>
      </c>
      <c r="J16" s="238" t="s">
        <v>188</v>
      </c>
      <c r="K16" s="238" t="s">
        <v>189</v>
      </c>
      <c r="L16" s="665" t="s">
        <v>253</v>
      </c>
      <c r="M16" s="328" t="s">
        <v>181</v>
      </c>
      <c r="N16" s="328" t="s">
        <v>182</v>
      </c>
      <c r="O16" s="328" t="s">
        <v>183</v>
      </c>
      <c r="P16" s="328" t="s">
        <v>184</v>
      </c>
      <c r="Q16" s="328" t="s">
        <v>185</v>
      </c>
      <c r="R16" s="328" t="s">
        <v>181</v>
      </c>
      <c r="S16" s="328" t="s">
        <v>186</v>
      </c>
      <c r="T16" s="237" t="s">
        <v>187</v>
      </c>
      <c r="U16" s="238" t="s">
        <v>188</v>
      </c>
      <c r="V16" s="238" t="s">
        <v>189</v>
      </c>
      <c r="W16" s="287" t="s">
        <v>253</v>
      </c>
      <c r="X16" s="291" t="s">
        <v>593</v>
      </c>
      <c r="Y16" s="287"/>
      <c r="Z16" s="287"/>
    </row>
    <row r="17" spans="1:26">
      <c r="B17" s="904">
        <v>80</v>
      </c>
      <c r="C17" s="328" t="s">
        <v>196</v>
      </c>
      <c r="D17" s="240">
        <v>35.966000000000001</v>
      </c>
      <c r="E17" s="240">
        <v>818.44</v>
      </c>
      <c r="F17" s="240">
        <v>813</v>
      </c>
      <c r="G17" s="240">
        <v>84.66</v>
      </c>
      <c r="H17" s="240">
        <v>15.23</v>
      </c>
      <c r="I17" s="241">
        <v>31</v>
      </c>
      <c r="J17" s="242">
        <f t="shared" ref="J17:J20" si="5">E17/$E$21</f>
        <v>1.2398727465535526</v>
      </c>
      <c r="K17" s="242">
        <f>E17/F17</f>
        <v>1.0066912669126693</v>
      </c>
      <c r="L17" s="244">
        <v>1</v>
      </c>
      <c r="M17" s="904">
        <v>80</v>
      </c>
      <c r="N17" s="670" t="s">
        <v>243</v>
      </c>
      <c r="O17" s="240">
        <v>35.827707889599772</v>
      </c>
      <c r="P17" s="240">
        <v>3410.0854334160372</v>
      </c>
      <c r="Q17" s="240"/>
      <c r="R17" s="240">
        <v>84.221663626886453</v>
      </c>
      <c r="S17" s="240">
        <v>11.952354224617581</v>
      </c>
      <c r="T17" s="249">
        <v>15</v>
      </c>
      <c r="U17" s="242">
        <f t="shared" ref="U17:U28" si="6">P17/$P$25</f>
        <v>1.2496419493251874</v>
      </c>
      <c r="V17" s="243" t="e">
        <f>P17/Q17</f>
        <v>#DIV/0!</v>
      </c>
      <c r="W17" s="671">
        <v>1</v>
      </c>
      <c r="X17" s="244"/>
      <c r="Y17" s="667"/>
    </row>
    <row r="18" spans="1:26">
      <c r="B18" s="904"/>
      <c r="C18" s="328" t="s">
        <v>198</v>
      </c>
      <c r="D18" s="240">
        <v>36.051000000000002</v>
      </c>
      <c r="E18" s="240">
        <v>787.44</v>
      </c>
      <c r="F18" s="240">
        <v>780</v>
      </c>
      <c r="G18" s="240">
        <v>82.88</v>
      </c>
      <c r="H18" s="240">
        <v>6.55</v>
      </c>
      <c r="I18" s="241">
        <v>32</v>
      </c>
      <c r="J18" s="242">
        <f t="shared" si="5"/>
        <v>1.1929101651264959</v>
      </c>
      <c r="K18" s="242">
        <f t="shared" ref="K18:K22" si="7">E18/F18</f>
        <v>1.0095384615384617</v>
      </c>
      <c r="L18" s="283">
        <v>0.99</v>
      </c>
      <c r="M18" s="904"/>
      <c r="N18" s="328" t="s">
        <v>196</v>
      </c>
      <c r="O18" s="240">
        <v>35.697000000000003</v>
      </c>
      <c r="P18" s="240">
        <v>3363.34</v>
      </c>
      <c r="Q18" s="240">
        <v>3350</v>
      </c>
      <c r="R18" s="240">
        <v>84.12</v>
      </c>
      <c r="S18" s="240">
        <v>12.68</v>
      </c>
      <c r="T18" s="241">
        <v>44</v>
      </c>
      <c r="U18" s="242">
        <f t="shared" si="6"/>
        <v>1.232511863972003</v>
      </c>
      <c r="V18" s="243">
        <f>P18/Q18</f>
        <v>1.0039820895522389</v>
      </c>
      <c r="W18" s="671">
        <v>1</v>
      </c>
      <c r="X18" s="244"/>
    </row>
    <row r="19" spans="1:26">
      <c r="B19" s="904"/>
      <c r="C19" s="328" t="s">
        <v>200</v>
      </c>
      <c r="D19" s="240">
        <v>36.081000000000003</v>
      </c>
      <c r="E19" s="240">
        <v>760.62</v>
      </c>
      <c r="F19" s="240">
        <v>735</v>
      </c>
      <c r="G19" s="240">
        <v>81.48</v>
      </c>
      <c r="H19" s="240">
        <v>2.0499999999999998</v>
      </c>
      <c r="I19" s="241">
        <v>31</v>
      </c>
      <c r="J19" s="242">
        <f t="shared" si="5"/>
        <v>1.1522799575821845</v>
      </c>
      <c r="K19" s="242">
        <f t="shared" si="7"/>
        <v>1.0348571428571429</v>
      </c>
      <c r="L19" s="283">
        <v>0.98</v>
      </c>
      <c r="M19" s="904"/>
      <c r="N19" s="669" t="s">
        <v>244</v>
      </c>
      <c r="O19" s="240">
        <v>35.829483328394197</v>
      </c>
      <c r="P19" s="240">
        <v>3325.2025416782294</v>
      </c>
      <c r="Q19" s="240">
        <v>3297</v>
      </c>
      <c r="R19" s="240">
        <v>83.770479936283579</v>
      </c>
      <c r="S19" s="240">
        <v>9.8710725480912931</v>
      </c>
      <c r="T19" s="249">
        <v>26</v>
      </c>
      <c r="U19" s="242">
        <f t="shared" si="6"/>
        <v>1.2185362118395036</v>
      </c>
      <c r="V19" s="243">
        <f>P19/Q19</f>
        <v>1.0085540011156291</v>
      </c>
      <c r="W19" s="671">
        <v>1</v>
      </c>
      <c r="X19" s="244"/>
    </row>
    <row r="20" spans="1:26">
      <c r="B20" s="904">
        <v>90</v>
      </c>
      <c r="C20" s="328" t="s">
        <v>196</v>
      </c>
      <c r="D20" s="240">
        <v>35.476999999999997</v>
      </c>
      <c r="E20" s="240">
        <v>716.22</v>
      </c>
      <c r="F20" s="240">
        <v>696</v>
      </c>
      <c r="G20" s="240">
        <v>92.16</v>
      </c>
      <c r="H20" s="240">
        <v>57.54</v>
      </c>
      <c r="I20" s="241">
        <v>32</v>
      </c>
      <c r="J20" s="242">
        <f t="shared" si="5"/>
        <v>1.0850174216027875</v>
      </c>
      <c r="K20" s="242">
        <f t="shared" si="7"/>
        <v>1.0290517241379311</v>
      </c>
      <c r="L20" s="244">
        <v>1</v>
      </c>
      <c r="M20" s="904"/>
      <c r="N20" s="328" t="s">
        <v>198</v>
      </c>
      <c r="O20" s="240">
        <v>35.673999999999999</v>
      </c>
      <c r="P20" s="240">
        <v>3228.54</v>
      </c>
      <c r="Q20" s="240">
        <v>3216</v>
      </c>
      <c r="R20" s="664">
        <v>82.84</v>
      </c>
      <c r="S20" s="664">
        <v>6.34</v>
      </c>
      <c r="T20" s="241">
        <v>44</v>
      </c>
      <c r="U20" s="242">
        <f t="shared" si="6"/>
        <v>1.1831137658720707</v>
      </c>
      <c r="V20" s="243">
        <f t="shared" ref="V20:V21" si="8">P20/Q20</f>
        <v>1.0038992537313434</v>
      </c>
      <c r="W20" s="283">
        <v>0.99</v>
      </c>
    </row>
    <row r="21" spans="1:26">
      <c r="B21" s="904"/>
      <c r="C21" s="328" t="s">
        <v>198</v>
      </c>
      <c r="D21" s="240">
        <v>35.56</v>
      </c>
      <c r="E21" s="240">
        <v>660.1</v>
      </c>
      <c r="F21" s="240">
        <v>650</v>
      </c>
      <c r="G21" s="240">
        <v>93.82</v>
      </c>
      <c r="H21" s="240">
        <v>58.94</v>
      </c>
      <c r="I21" s="241">
        <v>320</v>
      </c>
      <c r="J21" s="242">
        <f>E21/$E$21</f>
        <v>1</v>
      </c>
      <c r="K21" s="242">
        <f t="shared" si="7"/>
        <v>1.0155384615384615</v>
      </c>
      <c r="L21" s="244">
        <v>1</v>
      </c>
      <c r="M21" s="904"/>
      <c r="N21" s="328" t="s">
        <v>200</v>
      </c>
      <c r="O21" s="240">
        <v>35.765999999999998</v>
      </c>
      <c r="P21" s="240">
        <v>3157.83</v>
      </c>
      <c r="Q21" s="240">
        <v>3029</v>
      </c>
      <c r="R21" s="664">
        <v>81.53</v>
      </c>
      <c r="S21" s="664">
        <v>1.8</v>
      </c>
      <c r="T21" s="241">
        <v>15</v>
      </c>
      <c r="U21" s="242">
        <f t="shared" si="6"/>
        <v>1.157201751653627</v>
      </c>
      <c r="V21" s="243">
        <f t="shared" si="8"/>
        <v>1.0425321888412018</v>
      </c>
      <c r="W21" s="668">
        <v>0.98</v>
      </c>
      <c r="X21" s="283"/>
    </row>
    <row r="22" spans="1:26">
      <c r="B22" s="904"/>
      <c r="C22" s="328" t="s">
        <v>200</v>
      </c>
      <c r="D22" s="240">
        <v>35.506999999999998</v>
      </c>
      <c r="E22" s="240">
        <v>625.77</v>
      </c>
      <c r="F22" s="240">
        <v>624</v>
      </c>
      <c r="G22" s="240">
        <v>94.46</v>
      </c>
      <c r="H22" s="240">
        <v>59.39</v>
      </c>
      <c r="I22" s="241">
        <v>32</v>
      </c>
      <c r="J22" s="242">
        <f>E22/$E$21</f>
        <v>0.94799272837448867</v>
      </c>
      <c r="K22" s="242">
        <f t="shared" si="7"/>
        <v>1.0028365384615385</v>
      </c>
      <c r="L22" s="244">
        <v>1</v>
      </c>
      <c r="M22" s="904">
        <v>90</v>
      </c>
      <c r="N22" s="669" t="s">
        <v>592</v>
      </c>
      <c r="O22" s="672">
        <v>35.94206821556169</v>
      </c>
      <c r="P22" s="672">
        <v>2999.3530522212104</v>
      </c>
      <c r="Q22" s="672"/>
      <c r="R22" s="672">
        <v>92.237340828447486</v>
      </c>
      <c r="S22" s="672">
        <v>58.913783694464655</v>
      </c>
      <c r="T22" s="249">
        <v>15</v>
      </c>
      <c r="U22" s="242">
        <f t="shared" si="6"/>
        <v>1.0991271239610865</v>
      </c>
      <c r="V22" s="243" t="e">
        <f>P22/Q22</f>
        <v>#DIV/0!</v>
      </c>
      <c r="W22" s="671">
        <v>1</v>
      </c>
      <c r="X22" s="283"/>
    </row>
    <row r="23" spans="1:26">
      <c r="A23" s="298">
        <f>E23/E24</f>
        <v>1.1262621217491295</v>
      </c>
      <c r="B23" s="904">
        <v>97</v>
      </c>
      <c r="C23" s="328" t="s">
        <v>196</v>
      </c>
      <c r="D23" s="240">
        <v>35.698383421201861</v>
      </c>
      <c r="E23" s="240">
        <v>660.69070405445962</v>
      </c>
      <c r="F23" s="264"/>
      <c r="G23" s="240">
        <v>97.620471482968199</v>
      </c>
      <c r="H23" s="240">
        <v>88.290886271477902</v>
      </c>
      <c r="I23" s="249">
        <v>30</v>
      </c>
      <c r="J23" s="242">
        <f>E23/$E$21</f>
        <v>1.0008948705566727</v>
      </c>
      <c r="L23" s="244">
        <v>1</v>
      </c>
      <c r="M23" s="904"/>
      <c r="N23" s="328" t="s">
        <v>196</v>
      </c>
      <c r="O23" s="240">
        <v>35.704999999999998</v>
      </c>
      <c r="P23" s="240">
        <v>2920.83</v>
      </c>
      <c r="Q23" s="240">
        <v>2868</v>
      </c>
      <c r="R23" s="240">
        <v>93.88</v>
      </c>
      <c r="S23" s="240">
        <v>63.85</v>
      </c>
      <c r="T23" s="241">
        <v>15</v>
      </c>
      <c r="U23" s="242">
        <f t="shared" si="6"/>
        <v>1.0703519797716987</v>
      </c>
      <c r="V23" s="243">
        <f>P23/Q23</f>
        <v>1.0184205020920503</v>
      </c>
      <c r="W23" s="671">
        <v>1</v>
      </c>
    </row>
    <row r="24" spans="1:26">
      <c r="B24" s="904"/>
      <c r="C24" s="328" t="s">
        <v>198</v>
      </c>
      <c r="D24" s="240">
        <v>35.36813558524512</v>
      </c>
      <c r="E24" s="240">
        <v>586.62250225407638</v>
      </c>
      <c r="F24" s="240"/>
      <c r="G24" s="240">
        <v>97.675708323579642</v>
      </c>
      <c r="H24" s="240">
        <v>89.00569196817122</v>
      </c>
      <c r="I24" s="249">
        <v>32</v>
      </c>
      <c r="J24" s="242">
        <f>E24/$E$21</f>
        <v>0.88868732351776447</v>
      </c>
      <c r="L24" s="244">
        <v>1</v>
      </c>
      <c r="M24" s="904"/>
      <c r="N24" s="669" t="s">
        <v>244</v>
      </c>
      <c r="O24" s="240">
        <v>35.760980623335634</v>
      </c>
      <c r="P24" s="240">
        <v>2879.5180844731735</v>
      </c>
      <c r="Q24" s="240">
        <v>2761</v>
      </c>
      <c r="R24" s="664">
        <v>93.224936909791651</v>
      </c>
      <c r="S24" s="240">
        <v>57.992813080397433</v>
      </c>
      <c r="T24" s="249">
        <v>14</v>
      </c>
      <c r="U24" s="242">
        <f t="shared" si="6"/>
        <v>1.0552130327695453</v>
      </c>
      <c r="V24" s="243">
        <f t="shared" ref="V24:V30" si="9">P24/Q24</f>
        <v>1.0429257821344344</v>
      </c>
      <c r="W24" s="671">
        <v>1</v>
      </c>
      <c r="X24" s="283"/>
    </row>
    <row r="25" spans="1:26">
      <c r="B25" s="904"/>
      <c r="C25" s="328" t="s">
        <v>200</v>
      </c>
      <c r="D25" s="240">
        <v>35.584070146670257</v>
      </c>
      <c r="E25" s="240">
        <v>562.65067889417594</v>
      </c>
      <c r="F25" s="240"/>
      <c r="G25" s="240">
        <v>97.01542965096732</v>
      </c>
      <c r="H25" s="240">
        <v>87.192926671728188</v>
      </c>
      <c r="I25" s="249">
        <v>32</v>
      </c>
      <c r="J25" s="242">
        <f t="shared" ref="J25" si="10">E25/$E$21</f>
        <v>0.85237188137278586</v>
      </c>
      <c r="L25" s="244">
        <v>1</v>
      </c>
      <c r="M25" s="904"/>
      <c r="N25" s="328" t="s">
        <v>198</v>
      </c>
      <c r="O25" s="240">
        <v>35.56</v>
      </c>
      <c r="P25" s="240">
        <v>2728.85</v>
      </c>
      <c r="Q25" s="240">
        <v>2680</v>
      </c>
      <c r="R25" s="240">
        <v>93.83</v>
      </c>
      <c r="S25" s="240">
        <v>56.35</v>
      </c>
      <c r="T25" s="241">
        <v>143</v>
      </c>
      <c r="U25" s="242">
        <f t="shared" si="6"/>
        <v>1</v>
      </c>
      <c r="V25" s="243">
        <f t="shared" si="9"/>
        <v>1.0182276119402984</v>
      </c>
      <c r="W25" s="671">
        <v>1</v>
      </c>
      <c r="Z25" s="668"/>
    </row>
    <row r="26" spans="1:26">
      <c r="M26" s="904"/>
      <c r="N26" s="328" t="s">
        <v>200</v>
      </c>
      <c r="O26" s="240">
        <v>35.466999999999999</v>
      </c>
      <c r="P26" s="240">
        <v>2560.88</v>
      </c>
      <c r="Q26" s="240">
        <v>2573</v>
      </c>
      <c r="R26" s="240">
        <v>94.19</v>
      </c>
      <c r="S26" s="240">
        <v>58.24</v>
      </c>
      <c r="T26" s="241">
        <v>15</v>
      </c>
      <c r="U26" s="242">
        <f t="shared" si="6"/>
        <v>0.93844659838393474</v>
      </c>
      <c r="V26" s="243">
        <f t="shared" si="9"/>
        <v>0.99528954527788582</v>
      </c>
      <c r="W26" s="671">
        <v>1</v>
      </c>
      <c r="Z26" s="668"/>
    </row>
    <row r="27" spans="1:26">
      <c r="M27" s="904"/>
      <c r="N27" s="669" t="s">
        <v>245</v>
      </c>
      <c r="O27" s="240">
        <v>35.866167580179471</v>
      </c>
      <c r="P27" s="240">
        <v>2423.9996619465214</v>
      </c>
      <c r="Q27" s="240"/>
      <c r="R27" s="240">
        <v>93.312668540445486</v>
      </c>
      <c r="S27" s="295">
        <v>54.521926358068363</v>
      </c>
      <c r="T27" s="249">
        <v>8</v>
      </c>
      <c r="U27" s="242">
        <f t="shared" si="6"/>
        <v>0.88828615055665261</v>
      </c>
      <c r="V27" s="243" t="e">
        <f t="shared" si="9"/>
        <v>#DIV/0!</v>
      </c>
      <c r="X27" s="283">
        <v>0.99</v>
      </c>
    </row>
    <row r="28" spans="1:26">
      <c r="L28" s="298">
        <f>P28/P29</f>
        <v>1.1025538536822583</v>
      </c>
      <c r="M28" s="904">
        <v>97</v>
      </c>
      <c r="N28" s="250" t="s">
        <v>196</v>
      </c>
      <c r="O28" s="674">
        <v>35.667186154982758</v>
      </c>
      <c r="P28" s="674">
        <v>2696.9388526048219</v>
      </c>
      <c r="Q28" s="675"/>
      <c r="R28" s="674">
        <v>97.371326019658497</v>
      </c>
      <c r="S28" s="674">
        <v>87.456817118458574</v>
      </c>
      <c r="T28" s="676">
        <v>15</v>
      </c>
      <c r="U28" s="242">
        <f t="shared" si="6"/>
        <v>0.98830600897990806</v>
      </c>
      <c r="V28" s="243" t="e">
        <f t="shared" si="9"/>
        <v>#DIV/0!</v>
      </c>
      <c r="W28" s="671">
        <v>1</v>
      </c>
    </row>
    <row r="29" spans="1:26">
      <c r="M29" s="904"/>
      <c r="N29" s="328" t="s">
        <v>198</v>
      </c>
      <c r="O29" s="240">
        <v>35.891799223933056</v>
      </c>
      <c r="P29" s="240">
        <v>2446.0835573679328</v>
      </c>
      <c r="Q29" s="240"/>
      <c r="R29" s="240">
        <v>98.16515912702333</v>
      </c>
      <c r="S29" s="240">
        <v>89.320201868266707</v>
      </c>
      <c r="T29" s="249">
        <v>15</v>
      </c>
      <c r="U29" s="242">
        <f>P29/$P$25</f>
        <v>0.89637889857190134</v>
      </c>
      <c r="V29" s="243" t="e">
        <f t="shared" si="9"/>
        <v>#DIV/0!</v>
      </c>
      <c r="W29" s="671">
        <v>1</v>
      </c>
    </row>
    <row r="30" spans="1:26">
      <c r="M30" s="904"/>
      <c r="N30" s="328" t="s">
        <v>200</v>
      </c>
      <c r="O30" s="240">
        <v>35.876593715533247</v>
      </c>
      <c r="P30" s="240">
        <v>2319.5404407664237</v>
      </c>
      <c r="Q30" s="240"/>
      <c r="R30" s="240">
        <v>97.162921371870695</v>
      </c>
      <c r="S30" s="240">
        <v>88.249243397269879</v>
      </c>
      <c r="T30" s="249">
        <v>14</v>
      </c>
      <c r="U30" s="242">
        <f>P30/$P$25</f>
        <v>0.85000657447878181</v>
      </c>
      <c r="V30" s="243" t="e">
        <f t="shared" si="9"/>
        <v>#DIV/0!</v>
      </c>
      <c r="W30" s="671">
        <v>1</v>
      </c>
    </row>
    <row r="31" spans="1:26" ht="22.5">
      <c r="B31" s="248" t="s">
        <v>209</v>
      </c>
      <c r="M31" s="249"/>
      <c r="N31" s="249"/>
      <c r="O31" s="249"/>
      <c r="P31" s="247"/>
      <c r="Q31" s="249"/>
      <c r="R31" s="247"/>
      <c r="S31" s="249"/>
      <c r="X31" s="249"/>
      <c r="Y31" s="296"/>
      <c r="Z31" s="249"/>
    </row>
    <row r="33" spans="1:35">
      <c r="B33" s="211" t="s">
        <v>179</v>
      </c>
      <c r="D33" s="211">
        <f>300*1</f>
        <v>300</v>
      </c>
      <c r="O33" s="211" t="s">
        <v>180</v>
      </c>
      <c r="Q33" s="211">
        <f>300*2</f>
        <v>600</v>
      </c>
    </row>
    <row r="34" spans="1:35">
      <c r="A34" s="249" t="s">
        <v>284</v>
      </c>
      <c r="B34" s="328" t="s">
        <v>181</v>
      </c>
      <c r="C34" s="328" t="s">
        <v>182</v>
      </c>
      <c r="D34" s="328" t="s">
        <v>214</v>
      </c>
      <c r="E34" s="328" t="s">
        <v>183</v>
      </c>
      <c r="F34" s="328" t="s">
        <v>184</v>
      </c>
      <c r="G34" s="328" t="s">
        <v>217</v>
      </c>
      <c r="H34" s="328" t="s">
        <v>185</v>
      </c>
      <c r="I34" s="328" t="s">
        <v>181</v>
      </c>
      <c r="J34" s="328" t="s">
        <v>186</v>
      </c>
      <c r="K34" s="237"/>
      <c r="L34" s="238" t="s">
        <v>188</v>
      </c>
      <c r="M34" s="238" t="s">
        <v>189</v>
      </c>
      <c r="N34" s="249" t="s">
        <v>284</v>
      </c>
      <c r="O34" s="328" t="s">
        <v>181</v>
      </c>
      <c r="P34" s="328" t="s">
        <v>182</v>
      </c>
      <c r="Q34" s="328" t="s">
        <v>214</v>
      </c>
      <c r="R34" s="328" t="s">
        <v>183</v>
      </c>
      <c r="S34" s="328" t="s">
        <v>184</v>
      </c>
      <c r="T34" s="328" t="s">
        <v>217</v>
      </c>
      <c r="U34" s="328" t="s">
        <v>185</v>
      </c>
      <c r="V34" s="328" t="s">
        <v>181</v>
      </c>
      <c r="W34" s="328" t="s">
        <v>186</v>
      </c>
      <c r="X34" s="237"/>
      <c r="Y34" s="238"/>
      <c r="Z34" s="238" t="s">
        <v>189</v>
      </c>
      <c r="AB34" s="328" t="s">
        <v>181</v>
      </c>
      <c r="AC34" s="328" t="s">
        <v>182</v>
      </c>
      <c r="AD34" s="250" t="s">
        <v>188</v>
      </c>
    </row>
    <row r="35" spans="1:35">
      <c r="A35" s="297">
        <f>D35*E35/1000</f>
        <v>3.7240000000000002</v>
      </c>
      <c r="B35" s="904">
        <v>80</v>
      </c>
      <c r="C35" s="328" t="s">
        <v>196</v>
      </c>
      <c r="D35" s="328">
        <v>175</v>
      </c>
      <c r="E35" s="240">
        <f>$D$9</f>
        <v>21.28</v>
      </c>
      <c r="F35" s="268">
        <f>ROUNDDOWN(K35,0)</f>
        <v>477</v>
      </c>
      <c r="G35" s="251">
        <f>F35/(D35*E35/1000)</f>
        <v>128.08807733619764</v>
      </c>
      <c r="H35" s="240"/>
      <c r="I35" s="240">
        <v>84.476422966096393</v>
      </c>
      <c r="J35" s="240">
        <v>13.385230494575859</v>
      </c>
      <c r="K35" s="286">
        <f>E5*L5</f>
        <v>477.87339226696986</v>
      </c>
      <c r="L35" s="242"/>
      <c r="M35" s="242"/>
      <c r="N35" s="297">
        <f>Q35*R35/1000</f>
        <v>12.46</v>
      </c>
      <c r="O35" s="904">
        <v>80</v>
      </c>
      <c r="P35" s="328" t="s">
        <v>196</v>
      </c>
      <c r="Q35" s="328">
        <v>350</v>
      </c>
      <c r="R35" s="240">
        <v>35.6</v>
      </c>
      <c r="S35" s="268">
        <f>ROUNDDOWN(X35,0)</f>
        <v>1658</v>
      </c>
      <c r="T35" s="251">
        <f>S35/(Q35*R35/1000)</f>
        <v>133.06581059390047</v>
      </c>
      <c r="U35" s="251">
        <v>1638</v>
      </c>
      <c r="V35" s="240">
        <f t="shared" ref="V35:W40" si="11">R5</f>
        <v>84.48</v>
      </c>
      <c r="W35" s="240">
        <f t="shared" si="11"/>
        <v>14.31</v>
      </c>
      <c r="X35" s="241">
        <f>P5*W5</f>
        <v>1658.87</v>
      </c>
      <c r="Y35" s="242">
        <f t="shared" ref="Y35:Y43" si="12">X35/$X$39</f>
        <v>1.2355929299775803</v>
      </c>
      <c r="Z35" s="243">
        <f t="shared" ref="Z35:Z40" si="13">S35/U35</f>
        <v>1.0122100122100122</v>
      </c>
      <c r="AB35" s="904">
        <v>80</v>
      </c>
      <c r="AC35" s="328" t="s">
        <v>196</v>
      </c>
      <c r="AD35" s="252">
        <f>AVERAGE(Y35,L48,Y49)</f>
        <v>1.2359925135010454</v>
      </c>
    </row>
    <row r="36" spans="1:35">
      <c r="A36" s="297">
        <f t="shared" ref="A36:A43" si="14">D36*E36/1000</f>
        <v>3.7240000000000002</v>
      </c>
      <c r="B36" s="904"/>
      <c r="C36" s="328" t="s">
        <v>198</v>
      </c>
      <c r="D36" s="328">
        <v>175</v>
      </c>
      <c r="E36" s="240">
        <f t="shared" ref="E36:E43" si="15">$D$9</f>
        <v>21.28</v>
      </c>
      <c r="F36" s="268">
        <f t="shared" ref="F36:F43" si="16">ROUNDDOWN(K36,0)</f>
        <v>451</v>
      </c>
      <c r="G36" s="251">
        <f t="shared" ref="G36:G43" si="17">F36/(D36*E36/1000)</f>
        <v>121.1063372717508</v>
      </c>
      <c r="H36" s="240"/>
      <c r="I36" s="240">
        <v>83.204503509081491</v>
      </c>
      <c r="J36" s="240">
        <v>8.0519831021613868</v>
      </c>
      <c r="K36" s="286">
        <f t="shared" ref="K36:K43" si="18">E6*L6</f>
        <v>451.47304774558069</v>
      </c>
      <c r="L36" s="242"/>
      <c r="M36" s="242"/>
      <c r="N36" s="297">
        <f t="shared" ref="N36:N43" si="19">Q36*R36/1000</f>
        <v>12.46</v>
      </c>
      <c r="O36" s="904"/>
      <c r="P36" s="328" t="s">
        <v>198</v>
      </c>
      <c r="Q36" s="328">
        <v>350</v>
      </c>
      <c r="R36" s="240">
        <v>35.6</v>
      </c>
      <c r="S36" s="268">
        <f t="shared" ref="S36:S39" si="20">ROUNDDOWN(X36,0)</f>
        <v>1576</v>
      </c>
      <c r="T36" s="251">
        <f t="shared" ref="T36:T43" si="21">S36/(Q36*R36/1000)</f>
        <v>126.48475120385231</v>
      </c>
      <c r="U36" s="251">
        <v>1572</v>
      </c>
      <c r="V36" s="240">
        <f t="shared" si="11"/>
        <v>82.71</v>
      </c>
      <c r="W36" s="240">
        <f t="shared" si="11"/>
        <v>5.81</v>
      </c>
      <c r="X36" s="241">
        <f t="shared" ref="X36:X41" si="22">P6*W6</f>
        <v>1576.5552</v>
      </c>
      <c r="Y36" s="242">
        <f t="shared" si="12"/>
        <v>1.1742815644621882</v>
      </c>
      <c r="Z36" s="243">
        <f t="shared" si="13"/>
        <v>1.0025445292620865</v>
      </c>
      <c r="AB36" s="904"/>
      <c r="AC36" s="328" t="s">
        <v>198</v>
      </c>
      <c r="AD36" s="252">
        <f>AVERAGE(Y36,L49,Y51)</f>
        <v>1.1755150853835896</v>
      </c>
    </row>
    <row r="37" spans="1:35">
      <c r="A37" s="297">
        <f t="shared" si="14"/>
        <v>3.7240000000000002</v>
      </c>
      <c r="B37" s="904"/>
      <c r="C37" s="328" t="s">
        <v>200</v>
      </c>
      <c r="D37" s="328">
        <v>175</v>
      </c>
      <c r="E37" s="240">
        <f t="shared" si="15"/>
        <v>21.28</v>
      </c>
      <c r="F37" s="268">
        <f t="shared" si="16"/>
        <v>431</v>
      </c>
      <c r="G37" s="251">
        <f t="shared" si="17"/>
        <v>115.73576799140709</v>
      </c>
      <c r="H37" s="240"/>
      <c r="I37" s="240">
        <v>81.843295378226685</v>
      </c>
      <c r="J37" s="240">
        <v>3.3639841277043443</v>
      </c>
      <c r="K37" s="286">
        <f>E7*L7</f>
        <v>431.11819685754602</v>
      </c>
      <c r="L37" s="242"/>
      <c r="M37" s="242"/>
      <c r="N37" s="297">
        <f t="shared" si="19"/>
        <v>12.46</v>
      </c>
      <c r="O37" s="904"/>
      <c r="P37" s="328" t="s">
        <v>200</v>
      </c>
      <c r="Q37" s="328">
        <v>350</v>
      </c>
      <c r="R37" s="240">
        <v>35.6</v>
      </c>
      <c r="S37" s="268">
        <f t="shared" si="20"/>
        <v>1502</v>
      </c>
      <c r="T37" s="251">
        <f t="shared" si="21"/>
        <v>120.54574638844301</v>
      </c>
      <c r="U37" s="251">
        <v>1480</v>
      </c>
      <c r="V37" s="240">
        <f t="shared" si="11"/>
        <v>81.44</v>
      </c>
      <c r="W37" s="240">
        <f t="shared" si="11"/>
        <v>1.83</v>
      </c>
      <c r="X37" s="241">
        <f t="shared" si="22"/>
        <v>1502.9672</v>
      </c>
      <c r="Y37" s="242">
        <f t="shared" si="12"/>
        <v>1.1194702697066075</v>
      </c>
      <c r="Z37" s="243">
        <f t="shared" si="13"/>
        <v>1.0148648648648648</v>
      </c>
      <c r="AB37" s="904"/>
      <c r="AC37" s="328" t="s">
        <v>200</v>
      </c>
      <c r="AD37" s="252">
        <f>AVERAGE(Y37,L50,Y52)</f>
        <v>1.1275874482525676</v>
      </c>
    </row>
    <row r="38" spans="1:35">
      <c r="A38" s="297">
        <f t="shared" si="14"/>
        <v>3.7240000000000002</v>
      </c>
      <c r="B38" s="904">
        <v>90</v>
      </c>
      <c r="C38" s="328" t="s">
        <v>196</v>
      </c>
      <c r="D38" s="328">
        <v>175</v>
      </c>
      <c r="E38" s="240">
        <f t="shared" si="15"/>
        <v>21.28</v>
      </c>
      <c r="F38" s="268">
        <f t="shared" si="16"/>
        <v>416</v>
      </c>
      <c r="G38" s="251">
        <f t="shared" si="17"/>
        <v>111.7078410311493</v>
      </c>
      <c r="H38" s="240"/>
      <c r="I38" s="240">
        <v>94.145130864703887</v>
      </c>
      <c r="J38" s="240">
        <v>63.468100903174289</v>
      </c>
      <c r="K38" s="286">
        <f t="shared" si="18"/>
        <v>416.73304362781477</v>
      </c>
      <c r="L38" s="242"/>
      <c r="M38" s="242"/>
      <c r="N38" s="297">
        <f t="shared" si="19"/>
        <v>12.46</v>
      </c>
      <c r="O38" s="904">
        <v>90</v>
      </c>
      <c r="P38" s="328" t="s">
        <v>196</v>
      </c>
      <c r="Q38" s="328">
        <v>350</v>
      </c>
      <c r="R38" s="240">
        <v>35.6</v>
      </c>
      <c r="S38" s="268">
        <f t="shared" si="20"/>
        <v>1424</v>
      </c>
      <c r="T38" s="251">
        <f t="shared" si="21"/>
        <v>114.28571428571428</v>
      </c>
      <c r="U38" s="251">
        <v>1402</v>
      </c>
      <c r="V38" s="240">
        <f t="shared" si="11"/>
        <v>93.91</v>
      </c>
      <c r="W38" s="240">
        <f t="shared" si="11"/>
        <v>63.33</v>
      </c>
      <c r="X38" s="241">
        <f t="shared" si="22"/>
        <v>1424.78</v>
      </c>
      <c r="Y38" s="242">
        <f t="shared" si="12"/>
        <v>1.061233306270809</v>
      </c>
      <c r="Z38" s="243">
        <f t="shared" si="13"/>
        <v>1.0156918687589158</v>
      </c>
      <c r="AB38" s="904">
        <v>90</v>
      </c>
      <c r="AC38" s="328" t="s">
        <v>196</v>
      </c>
      <c r="AD38" s="252">
        <f>AVERAGE(Y38,L51,Y54)</f>
        <v>1.0722009025484318</v>
      </c>
    </row>
    <row r="39" spans="1:35">
      <c r="A39" s="297">
        <f t="shared" si="14"/>
        <v>3.7240000000000002</v>
      </c>
      <c r="B39" s="904"/>
      <c r="C39" s="328" t="s">
        <v>198</v>
      </c>
      <c r="D39" s="328">
        <v>175</v>
      </c>
      <c r="E39" s="240">
        <v>21.28</v>
      </c>
      <c r="F39" s="268">
        <f t="shared" si="16"/>
        <v>389</v>
      </c>
      <c r="G39" s="251">
        <f t="shared" si="17"/>
        <v>104.45757250268528</v>
      </c>
      <c r="H39" s="240"/>
      <c r="I39" s="240">
        <v>94.45</v>
      </c>
      <c r="J39" s="240">
        <v>58.7</v>
      </c>
      <c r="K39" s="286">
        <f t="shared" si="18"/>
        <v>389.2</v>
      </c>
      <c r="L39" s="242"/>
      <c r="M39" s="242"/>
      <c r="N39" s="297">
        <f t="shared" si="19"/>
        <v>12.46</v>
      </c>
      <c r="O39" s="904"/>
      <c r="P39" s="328" t="s">
        <v>198</v>
      </c>
      <c r="Q39" s="328">
        <v>350</v>
      </c>
      <c r="R39" s="240">
        <v>35.6</v>
      </c>
      <c r="S39" s="268">
        <f t="shared" si="20"/>
        <v>1342</v>
      </c>
      <c r="T39" s="251">
        <f t="shared" si="21"/>
        <v>107.70465489566612</v>
      </c>
      <c r="U39" s="251">
        <v>1310</v>
      </c>
      <c r="V39" s="240">
        <f t="shared" si="11"/>
        <v>94.15</v>
      </c>
      <c r="W39" s="240">
        <f t="shared" si="11"/>
        <v>58.43</v>
      </c>
      <c r="X39" s="241">
        <f t="shared" si="22"/>
        <v>1342.57</v>
      </c>
      <c r="Y39" s="242">
        <f t="shared" si="12"/>
        <v>1</v>
      </c>
      <c r="Z39" s="243">
        <f t="shared" si="13"/>
        <v>1.0244274809160305</v>
      </c>
      <c r="AB39" s="904"/>
      <c r="AC39" s="328" t="s">
        <v>198</v>
      </c>
      <c r="AD39" s="252">
        <f>AVERAGE(Y39,L52,Y56)</f>
        <v>1</v>
      </c>
    </row>
    <row r="40" spans="1:35">
      <c r="A40" s="297">
        <f t="shared" si="14"/>
        <v>3.7240000000000002</v>
      </c>
      <c r="B40" s="904"/>
      <c r="C40" s="328" t="s">
        <v>200</v>
      </c>
      <c r="D40" s="328">
        <v>175</v>
      </c>
      <c r="E40" s="240">
        <f t="shared" si="15"/>
        <v>21.28</v>
      </c>
      <c r="F40" s="268">
        <f t="shared" si="16"/>
        <v>368</v>
      </c>
      <c r="G40" s="251">
        <f t="shared" si="17"/>
        <v>98.818474758324371</v>
      </c>
      <c r="H40" s="240"/>
      <c r="I40" s="240">
        <v>93.756343591588163</v>
      </c>
      <c r="J40" s="240">
        <v>57.227037790973888</v>
      </c>
      <c r="K40" s="286">
        <f t="shared" si="18"/>
        <v>368.62767112098339</v>
      </c>
      <c r="L40" s="242"/>
      <c r="M40" s="242"/>
      <c r="N40" s="297">
        <f t="shared" si="19"/>
        <v>12.46</v>
      </c>
      <c r="O40" s="904"/>
      <c r="P40" s="328" t="s">
        <v>200</v>
      </c>
      <c r="Q40" s="328">
        <v>350</v>
      </c>
      <c r="R40" s="240">
        <v>35.6</v>
      </c>
      <c r="S40" s="268">
        <f>ROUNDDOWN(X40,0)</f>
        <v>1246</v>
      </c>
      <c r="T40" s="251">
        <f t="shared" si="21"/>
        <v>100</v>
      </c>
      <c r="U40" s="251">
        <v>1258</v>
      </c>
      <c r="V40" s="240">
        <f t="shared" si="11"/>
        <v>93.88</v>
      </c>
      <c r="W40" s="240">
        <f t="shared" si="11"/>
        <v>57.55</v>
      </c>
      <c r="X40" s="241">
        <f t="shared" si="22"/>
        <v>1246.77</v>
      </c>
      <c r="Y40" s="242">
        <f t="shared" si="12"/>
        <v>0.92864431649746382</v>
      </c>
      <c r="Z40" s="243">
        <f t="shared" si="13"/>
        <v>0.99046104928457868</v>
      </c>
      <c r="AB40" s="904"/>
      <c r="AC40" s="328" t="s">
        <v>200</v>
      </c>
      <c r="AD40" s="252">
        <f>AVERAGE(Y40,L53,Y57)</f>
        <v>0.93836121441862907</v>
      </c>
    </row>
    <row r="41" spans="1:35">
      <c r="A41" s="297">
        <f t="shared" si="14"/>
        <v>3.7240000000000002</v>
      </c>
      <c r="B41" s="904">
        <v>97</v>
      </c>
      <c r="C41" s="328" t="s">
        <v>196</v>
      </c>
      <c r="D41" s="328">
        <v>175</v>
      </c>
      <c r="E41" s="240">
        <f t="shared" si="15"/>
        <v>21.28</v>
      </c>
      <c r="F41" s="268">
        <f t="shared" si="16"/>
        <v>378</v>
      </c>
      <c r="G41" s="251">
        <f t="shared" si="17"/>
        <v>101.50375939849623</v>
      </c>
      <c r="H41" s="264"/>
      <c r="I41" s="240">
        <v>97.402499893981755</v>
      </c>
      <c r="J41" s="240">
        <v>88.665831994943332</v>
      </c>
      <c r="K41" s="666">
        <f t="shared" si="18"/>
        <v>378.27807950172325</v>
      </c>
      <c r="N41" s="297">
        <f t="shared" si="19"/>
        <v>12.46</v>
      </c>
      <c r="O41" s="904">
        <v>97</v>
      </c>
      <c r="P41" s="328" t="s">
        <v>196</v>
      </c>
      <c r="Q41" s="328">
        <v>350</v>
      </c>
      <c r="R41" s="240">
        <v>35.6</v>
      </c>
      <c r="S41" s="268">
        <f>ROUNDDOWN(X41,0)</f>
        <v>1363</v>
      </c>
      <c r="T41" s="695">
        <f t="shared" si="21"/>
        <v>109.39004815409309</v>
      </c>
      <c r="U41" s="695"/>
      <c r="V41" s="240">
        <f t="shared" ref="V41" si="23">R11</f>
        <v>96.636404524984869</v>
      </c>
      <c r="W41" s="240">
        <f t="shared" ref="W41" si="24">S11</f>
        <v>84.244501957246683</v>
      </c>
      <c r="X41" s="286">
        <f t="shared" si="22"/>
        <v>1363.87757777464</v>
      </c>
      <c r="Y41" s="242">
        <f t="shared" si="12"/>
        <v>1.0158707387880259</v>
      </c>
      <c r="AB41" s="904">
        <v>97</v>
      </c>
      <c r="AC41" s="328" t="s">
        <v>196</v>
      </c>
      <c r="AD41" s="265">
        <f>AD42*AE41</f>
        <v>0.98430328741029549</v>
      </c>
      <c r="AE41" s="211">
        <v>1.1062421982651649</v>
      </c>
    </row>
    <row r="42" spans="1:35">
      <c r="A42" s="297">
        <f t="shared" si="14"/>
        <v>3.7240000000000002</v>
      </c>
      <c r="B42" s="904"/>
      <c r="C42" s="328" t="s">
        <v>198</v>
      </c>
      <c r="D42" s="328">
        <v>175</v>
      </c>
      <c r="E42" s="240">
        <f t="shared" si="15"/>
        <v>21.28</v>
      </c>
      <c r="F42" s="268">
        <f t="shared" si="16"/>
        <v>343</v>
      </c>
      <c r="G42" s="251">
        <f t="shared" si="17"/>
        <v>92.105263157894726</v>
      </c>
      <c r="H42" s="264"/>
      <c r="I42" s="240">
        <v>97.485603598564921</v>
      </c>
      <c r="J42" s="240">
        <v>90.411251171358543</v>
      </c>
      <c r="K42" s="666">
        <f t="shared" si="18"/>
        <v>343.738168752192</v>
      </c>
      <c r="N42" s="297">
        <f t="shared" si="19"/>
        <v>12.46</v>
      </c>
      <c r="O42" s="904"/>
      <c r="P42" s="328" t="s">
        <v>198</v>
      </c>
      <c r="Q42" s="328">
        <v>350</v>
      </c>
      <c r="R42" s="240">
        <v>35.6</v>
      </c>
      <c r="S42" s="268">
        <f t="shared" ref="S42:S43" si="25">ROUNDDOWN(X42,0)</f>
        <v>1187</v>
      </c>
      <c r="T42" s="251">
        <f t="shared" si="21"/>
        <v>95.264847512038514</v>
      </c>
      <c r="U42" s="251"/>
      <c r="V42" s="240">
        <f>R12</f>
        <v>97.412860609534931</v>
      </c>
      <c r="W42" s="240">
        <f>S12</f>
        <v>89.501509701449493</v>
      </c>
      <c r="X42" s="241">
        <f t="shared" ref="X42:X43" si="26">P12*W12</f>
        <v>1187.1670574869656</v>
      </c>
      <c r="Y42" s="242">
        <f>X42/$X$39</f>
        <v>0.8842496536396357</v>
      </c>
      <c r="AB42" s="904"/>
      <c r="AC42" s="328" t="s">
        <v>198</v>
      </c>
      <c r="AD42" s="252">
        <f>AVERAGE(Y42,L55,Y60)</f>
        <v>0.88977195857643387</v>
      </c>
    </row>
    <row r="43" spans="1:35">
      <c r="A43" s="297">
        <f t="shared" si="14"/>
        <v>3.7240000000000002</v>
      </c>
      <c r="B43" s="904"/>
      <c r="C43" s="328" t="s">
        <v>200</v>
      </c>
      <c r="D43" s="328">
        <v>175</v>
      </c>
      <c r="E43" s="240">
        <f t="shared" si="15"/>
        <v>21.28</v>
      </c>
      <c r="F43" s="268">
        <f t="shared" si="16"/>
        <v>326</v>
      </c>
      <c r="G43" s="251">
        <f t="shared" si="17"/>
        <v>87.540279269602578</v>
      </c>
      <c r="H43" s="264"/>
      <c r="I43" s="240">
        <v>96.343175696142993</v>
      </c>
      <c r="J43" s="240">
        <v>89.221735618150291</v>
      </c>
      <c r="K43" s="666">
        <f t="shared" si="18"/>
        <v>326.91843773828589</v>
      </c>
      <c r="N43" s="297">
        <f t="shared" si="19"/>
        <v>12.46</v>
      </c>
      <c r="O43" s="904"/>
      <c r="P43" s="328" t="s">
        <v>200</v>
      </c>
      <c r="Q43" s="328">
        <v>350</v>
      </c>
      <c r="R43" s="240">
        <v>35.6</v>
      </c>
      <c r="S43" s="268">
        <f t="shared" si="25"/>
        <v>1130</v>
      </c>
      <c r="T43" s="251">
        <f t="shared" si="21"/>
        <v>90.690208667736755</v>
      </c>
      <c r="U43" s="251"/>
      <c r="V43" s="240">
        <f>R13</f>
        <v>96.517215821554757</v>
      </c>
      <c r="W43" s="240">
        <f>S13</f>
        <v>87.487573837820264</v>
      </c>
      <c r="X43" s="241">
        <f t="shared" si="26"/>
        <v>1130.4835265341935</v>
      </c>
      <c r="Y43" s="242">
        <f t="shared" si="12"/>
        <v>0.8420294856388818</v>
      </c>
      <c r="AB43" s="904"/>
      <c r="AC43" s="328" t="s">
        <v>200</v>
      </c>
      <c r="AD43" s="252">
        <f>AVERAGE(Y43,L56,Y61)</f>
        <v>0.8481359804968166</v>
      </c>
    </row>
    <row r="44" spans="1:35">
      <c r="R44" s="247"/>
      <c r="X44" s="246"/>
      <c r="Y44" s="239"/>
      <c r="AB44" s="263"/>
      <c r="AC44" s="263"/>
      <c r="AD44" s="242"/>
    </row>
    <row r="45" spans="1:35">
      <c r="R45" s="247"/>
      <c r="X45" s="246"/>
      <c r="Y45" s="239"/>
      <c r="AB45" s="263"/>
      <c r="AC45" s="263"/>
      <c r="AD45" s="242"/>
      <c r="AI45" s="211">
        <v>700</v>
      </c>
    </row>
    <row r="46" spans="1:35">
      <c r="B46" s="211" t="s">
        <v>202</v>
      </c>
      <c r="D46" s="211">
        <f>300*1</f>
        <v>300</v>
      </c>
      <c r="O46" s="290" t="s">
        <v>246</v>
      </c>
      <c r="Q46" s="211">
        <f>300*4</f>
        <v>1200</v>
      </c>
      <c r="X46" s="246"/>
      <c r="Y46" s="239"/>
      <c r="AI46" s="211">
        <v>37.6</v>
      </c>
    </row>
    <row r="47" spans="1:35">
      <c r="A47" s="249" t="s">
        <v>284</v>
      </c>
      <c r="B47" s="328" t="s">
        <v>181</v>
      </c>
      <c r="C47" s="328" t="s">
        <v>182</v>
      </c>
      <c r="D47" s="328" t="s">
        <v>214</v>
      </c>
      <c r="E47" s="328" t="s">
        <v>183</v>
      </c>
      <c r="F47" s="328" t="s">
        <v>184</v>
      </c>
      <c r="G47" s="328" t="s">
        <v>217</v>
      </c>
      <c r="H47" s="328" t="s">
        <v>185</v>
      </c>
      <c r="I47" s="328" t="s">
        <v>181</v>
      </c>
      <c r="J47" s="328" t="s">
        <v>186</v>
      </c>
      <c r="M47" s="238" t="s">
        <v>189</v>
      </c>
      <c r="N47" s="249" t="s">
        <v>284</v>
      </c>
      <c r="O47" s="328" t="s">
        <v>181</v>
      </c>
      <c r="P47" s="328" t="s">
        <v>182</v>
      </c>
      <c r="Q47" s="328" t="s">
        <v>214</v>
      </c>
      <c r="R47" s="328" t="s">
        <v>183</v>
      </c>
      <c r="S47" s="328" t="s">
        <v>184</v>
      </c>
      <c r="T47" s="328" t="s">
        <v>217</v>
      </c>
      <c r="U47" s="328" t="s">
        <v>185</v>
      </c>
      <c r="V47" s="328" t="s">
        <v>181</v>
      </c>
      <c r="W47" s="328" t="s">
        <v>186</v>
      </c>
      <c r="X47" s="238"/>
      <c r="Z47" s="238" t="s">
        <v>189</v>
      </c>
      <c r="AB47" s="211" t="s">
        <v>255</v>
      </c>
      <c r="AD47" s="211" t="s">
        <v>256</v>
      </c>
      <c r="AF47" s="211" t="s">
        <v>257</v>
      </c>
      <c r="AG47" s="211" t="s">
        <v>258</v>
      </c>
      <c r="AH47" s="211" t="s">
        <v>257</v>
      </c>
      <c r="AI47" s="211" t="s">
        <v>258</v>
      </c>
    </row>
    <row r="48" spans="1:35">
      <c r="A48" s="297">
        <f>D48*E48/1000</f>
        <v>6.23</v>
      </c>
      <c r="B48" s="904">
        <v>80</v>
      </c>
      <c r="C48" s="328" t="s">
        <v>196</v>
      </c>
      <c r="D48" s="328">
        <v>175</v>
      </c>
      <c r="E48" s="240">
        <v>35.6</v>
      </c>
      <c r="F48" s="268">
        <f>ROUNDDOWN(K48,0)</f>
        <v>818</v>
      </c>
      <c r="G48" s="251">
        <f>F48/(D48*E48/1000)</f>
        <v>131.30016051364365</v>
      </c>
      <c r="H48" s="251">
        <v>813</v>
      </c>
      <c r="I48" s="240">
        <f t="shared" ref="I48:J53" si="27">G17</f>
        <v>84.66</v>
      </c>
      <c r="J48" s="240">
        <f t="shared" si="27"/>
        <v>15.23</v>
      </c>
      <c r="K48" s="253">
        <f>E17*L17</f>
        <v>818.44</v>
      </c>
      <c r="L48" s="243">
        <f t="shared" ref="L48:L56" si="28">K48/$K$52</f>
        <v>1.2398727465535526</v>
      </c>
      <c r="M48" s="242">
        <f t="shared" ref="M48:M53" si="29">F48/H48</f>
        <v>1.0061500615006149</v>
      </c>
      <c r="N48" s="327">
        <f>Q48*R48/1000</f>
        <v>24.92</v>
      </c>
      <c r="O48" s="904">
        <v>80</v>
      </c>
      <c r="P48" s="670" t="s">
        <v>247</v>
      </c>
      <c r="Q48" s="328">
        <v>700</v>
      </c>
      <c r="R48" s="240">
        <v>35.6</v>
      </c>
      <c r="S48" s="268">
        <f t="shared" ref="S48:S61" si="30">ROUNDDOWN(X48,0)</f>
        <v>3410</v>
      </c>
      <c r="T48" s="251">
        <f t="shared" ref="T48" si="31">S48/(Q48*R48/1000)</f>
        <v>136.83788121990369</v>
      </c>
      <c r="U48" s="251"/>
      <c r="V48" s="240">
        <v>84.221663626886453</v>
      </c>
      <c r="W48" s="240">
        <v>11.952354224617581</v>
      </c>
      <c r="X48" s="286">
        <f t="shared" ref="X48:X51" si="32">P17*W17</f>
        <v>3410.0854334160372</v>
      </c>
      <c r="Y48" s="242">
        <f t="shared" ref="Y48" si="33">X48/$X$56</f>
        <v>1.2496419493251874</v>
      </c>
      <c r="Z48" s="243" t="e">
        <f t="shared" ref="Z48" si="34">S48/U48</f>
        <v>#DIV/0!</v>
      </c>
      <c r="AB48" s="292">
        <v>3300</v>
      </c>
      <c r="AC48" s="211">
        <v>127</v>
      </c>
      <c r="AD48" s="211">
        <v>3232</v>
      </c>
      <c r="AE48" s="292">
        <f t="shared" ref="AE48:AE61" si="35">AD48/($AI$45*$AI$46/1000)</f>
        <v>122.79635258358662</v>
      </c>
      <c r="AF48" s="293">
        <f t="shared" ref="AF48:AG61" si="36">S48/AB48</f>
        <v>1.0333333333333334</v>
      </c>
      <c r="AG48" s="294">
        <f t="shared" si="36"/>
        <v>1.077463631652785</v>
      </c>
      <c r="AH48" s="293">
        <f t="shared" ref="AH48:AI61" si="37">S48/AD48</f>
        <v>1.0550742574257426</v>
      </c>
      <c r="AI48" s="294">
        <f t="shared" si="37"/>
        <v>1.1143480921125821</v>
      </c>
    </row>
    <row r="49" spans="1:35">
      <c r="A49" s="297">
        <f t="shared" ref="A49:A56" si="38">D49*E49/1000</f>
        <v>6.23</v>
      </c>
      <c r="B49" s="904"/>
      <c r="C49" s="328" t="s">
        <v>198</v>
      </c>
      <c r="D49" s="328">
        <v>175</v>
      </c>
      <c r="E49" s="240">
        <v>35.6</v>
      </c>
      <c r="F49" s="268">
        <f t="shared" ref="F49:F56" si="39">ROUNDDOWN(K49,0)</f>
        <v>779</v>
      </c>
      <c r="G49" s="251">
        <f t="shared" ref="G49:G56" si="40">F49/(D49*E49/1000)</f>
        <v>125.04012841091492</v>
      </c>
      <c r="H49" s="251">
        <v>780</v>
      </c>
      <c r="I49" s="240">
        <f t="shared" si="27"/>
        <v>82.88</v>
      </c>
      <c r="J49" s="240">
        <f t="shared" si="27"/>
        <v>6.55</v>
      </c>
      <c r="K49" s="253">
        <f t="shared" ref="K49:K56" si="41">E18*L18</f>
        <v>779.56560000000002</v>
      </c>
      <c r="L49" s="243">
        <f t="shared" si="28"/>
        <v>1.1809810634752309</v>
      </c>
      <c r="M49" s="242">
        <f t="shared" si="29"/>
        <v>0.99871794871794872</v>
      </c>
      <c r="N49" s="327">
        <f t="shared" ref="N49:N61" si="42">Q49*R49/1000</f>
        <v>24.92</v>
      </c>
      <c r="O49" s="904"/>
      <c r="P49" s="328" t="s">
        <v>196</v>
      </c>
      <c r="Q49" s="328">
        <v>700</v>
      </c>
      <c r="R49" s="240">
        <v>35.6</v>
      </c>
      <c r="S49" s="268">
        <f t="shared" si="30"/>
        <v>3363</v>
      </c>
      <c r="T49" s="251">
        <f>S49/(Q49*R49/1000)</f>
        <v>134.95184590690207</v>
      </c>
      <c r="U49" s="251">
        <v>3350</v>
      </c>
      <c r="V49" s="240">
        <v>84.12</v>
      </c>
      <c r="W49" s="240">
        <v>12.68</v>
      </c>
      <c r="X49" s="286">
        <f t="shared" si="32"/>
        <v>3363.34</v>
      </c>
      <c r="Y49" s="242">
        <f>X49/$X$56</f>
        <v>1.232511863972003</v>
      </c>
      <c r="Z49" s="243">
        <f>S49/U49</f>
        <v>1.0038805970149254</v>
      </c>
      <c r="AB49" s="292">
        <v>3315</v>
      </c>
      <c r="AC49" s="211">
        <v>126</v>
      </c>
      <c r="AD49" s="211">
        <v>3172</v>
      </c>
      <c r="AE49" s="292">
        <f t="shared" si="35"/>
        <v>120.51671732522796</v>
      </c>
      <c r="AF49" s="293">
        <f t="shared" si="36"/>
        <v>1.0144796380090497</v>
      </c>
      <c r="AG49" s="294">
        <f t="shared" si="36"/>
        <v>1.0710463960865244</v>
      </c>
      <c r="AH49" s="293">
        <f t="shared" si="37"/>
        <v>1.0602143757881464</v>
      </c>
      <c r="AI49" s="294">
        <f t="shared" si="37"/>
        <v>1.1197769811695026</v>
      </c>
    </row>
    <row r="50" spans="1:35">
      <c r="A50" s="297">
        <f t="shared" si="38"/>
        <v>6.23</v>
      </c>
      <c r="B50" s="904"/>
      <c r="C50" s="328" t="s">
        <v>200</v>
      </c>
      <c r="D50" s="328">
        <v>175</v>
      </c>
      <c r="E50" s="240">
        <v>35.6</v>
      </c>
      <c r="F50" s="268">
        <f t="shared" si="39"/>
        <v>745</v>
      </c>
      <c r="G50" s="251">
        <f t="shared" si="40"/>
        <v>119.58266452648475</v>
      </c>
      <c r="H50" s="251">
        <v>735</v>
      </c>
      <c r="I50" s="240">
        <f t="shared" si="27"/>
        <v>81.48</v>
      </c>
      <c r="J50" s="240">
        <f t="shared" si="27"/>
        <v>2.0499999999999998</v>
      </c>
      <c r="K50" s="253">
        <f t="shared" si="41"/>
        <v>745.4076</v>
      </c>
      <c r="L50" s="243">
        <f t="shared" si="28"/>
        <v>1.1292343584305409</v>
      </c>
      <c r="M50" s="242">
        <f t="shared" si="29"/>
        <v>1.0136054421768708</v>
      </c>
      <c r="N50" s="327">
        <f t="shared" si="42"/>
        <v>24.92</v>
      </c>
      <c r="O50" s="904"/>
      <c r="P50" s="669" t="s">
        <v>244</v>
      </c>
      <c r="Q50" s="328">
        <v>700</v>
      </c>
      <c r="R50" s="240">
        <v>35.6</v>
      </c>
      <c r="S50" s="268">
        <f t="shared" si="30"/>
        <v>3325</v>
      </c>
      <c r="T50" s="251">
        <f t="shared" ref="T50:T61" si="43">S50/(Q50*R50/1000)</f>
        <v>133.42696629213484</v>
      </c>
      <c r="U50" s="251">
        <v>3297</v>
      </c>
      <c r="V50" s="240">
        <v>83.770479936283579</v>
      </c>
      <c r="W50" s="240">
        <v>9.8710725480912931</v>
      </c>
      <c r="X50" s="286">
        <f t="shared" si="32"/>
        <v>3325.2025416782294</v>
      </c>
      <c r="Y50" s="242">
        <f t="shared" ref="Y50:Y61" si="44">X50/$X$56</f>
        <v>1.2185362118395036</v>
      </c>
      <c r="Z50" s="243">
        <f t="shared" ref="Z50:Z61" si="45">S50/U50</f>
        <v>1.0084925690021231</v>
      </c>
      <c r="AB50" s="292">
        <v>3247</v>
      </c>
      <c r="AC50" s="211">
        <v>123</v>
      </c>
      <c r="AD50" s="211">
        <v>3107</v>
      </c>
      <c r="AE50" s="292">
        <f t="shared" si="35"/>
        <v>118.04711246200608</v>
      </c>
      <c r="AF50" s="293">
        <f t="shared" si="36"/>
        <v>1.0240221743147522</v>
      </c>
      <c r="AG50" s="294">
        <f t="shared" si="36"/>
        <v>1.084772083675893</v>
      </c>
      <c r="AH50" s="293">
        <f t="shared" si="37"/>
        <v>1.0701641454779529</v>
      </c>
      <c r="AI50" s="294">
        <f t="shared" si="37"/>
        <v>1.1302857266845796</v>
      </c>
    </row>
    <row r="51" spans="1:35">
      <c r="A51" s="297">
        <f t="shared" si="38"/>
        <v>6.23</v>
      </c>
      <c r="B51" s="904">
        <v>90</v>
      </c>
      <c r="C51" s="328" t="s">
        <v>196</v>
      </c>
      <c r="D51" s="328">
        <v>175</v>
      </c>
      <c r="E51" s="240">
        <v>35.6</v>
      </c>
      <c r="F51" s="268">
        <f t="shared" si="39"/>
        <v>716</v>
      </c>
      <c r="G51" s="251">
        <f t="shared" si="40"/>
        <v>114.92776886035313</v>
      </c>
      <c r="H51" s="251">
        <v>696</v>
      </c>
      <c r="I51" s="240">
        <f t="shared" si="27"/>
        <v>92.16</v>
      </c>
      <c r="J51" s="240">
        <f t="shared" si="27"/>
        <v>57.54</v>
      </c>
      <c r="K51" s="253">
        <f t="shared" si="41"/>
        <v>716.22</v>
      </c>
      <c r="L51" s="243">
        <f t="shared" si="28"/>
        <v>1.0850174216027875</v>
      </c>
      <c r="M51" s="242">
        <f t="shared" si="29"/>
        <v>1.0287356321839081</v>
      </c>
      <c r="N51" s="327">
        <f t="shared" si="42"/>
        <v>24.92</v>
      </c>
      <c r="O51" s="904"/>
      <c r="P51" s="328" t="s">
        <v>198</v>
      </c>
      <c r="Q51" s="328">
        <v>700</v>
      </c>
      <c r="R51" s="240">
        <v>35.6</v>
      </c>
      <c r="S51" s="268">
        <f t="shared" si="30"/>
        <v>3196</v>
      </c>
      <c r="T51" s="251">
        <f t="shared" si="43"/>
        <v>128.25040128410913</v>
      </c>
      <c r="U51" s="251">
        <v>3216</v>
      </c>
      <c r="V51" s="240">
        <v>82.84</v>
      </c>
      <c r="W51" s="240">
        <v>6.34</v>
      </c>
      <c r="X51" s="286">
        <f t="shared" si="32"/>
        <v>3196.2545999999998</v>
      </c>
      <c r="Y51" s="242">
        <f t="shared" si="44"/>
        <v>1.1712826282133499</v>
      </c>
      <c r="Z51" s="243">
        <f t="shared" si="45"/>
        <v>0.99378109452736318</v>
      </c>
      <c r="AB51" s="292">
        <v>3133</v>
      </c>
      <c r="AC51" s="211">
        <v>119</v>
      </c>
      <c r="AD51" s="211">
        <v>3042</v>
      </c>
      <c r="AE51" s="292">
        <f t="shared" si="35"/>
        <v>115.57750759878419</v>
      </c>
      <c r="AF51" s="293">
        <f t="shared" si="36"/>
        <v>1.0201085221832109</v>
      </c>
      <c r="AG51" s="294">
        <f t="shared" si="36"/>
        <v>1.0777344645723457</v>
      </c>
      <c r="AH51" s="293">
        <f t="shared" si="37"/>
        <v>1.0506245890861277</v>
      </c>
      <c r="AI51" s="294">
        <f t="shared" si="37"/>
        <v>1.1096484424055728</v>
      </c>
    </row>
    <row r="52" spans="1:35">
      <c r="A52" s="297">
        <f t="shared" si="38"/>
        <v>6.23</v>
      </c>
      <c r="B52" s="904"/>
      <c r="C52" s="328" t="s">
        <v>198</v>
      </c>
      <c r="D52" s="328">
        <v>175</v>
      </c>
      <c r="E52" s="240">
        <v>35.6</v>
      </c>
      <c r="F52" s="268">
        <f t="shared" si="39"/>
        <v>660</v>
      </c>
      <c r="G52" s="251">
        <f t="shared" si="40"/>
        <v>105.93900481540931</v>
      </c>
      <c r="H52" s="251">
        <v>650</v>
      </c>
      <c r="I52" s="240">
        <f t="shared" si="27"/>
        <v>93.82</v>
      </c>
      <c r="J52" s="240">
        <f t="shared" si="27"/>
        <v>58.94</v>
      </c>
      <c r="K52" s="253">
        <f t="shared" si="41"/>
        <v>660.1</v>
      </c>
      <c r="L52" s="243">
        <f t="shared" si="28"/>
        <v>1</v>
      </c>
      <c r="M52" s="242">
        <f t="shared" si="29"/>
        <v>1.0153846153846153</v>
      </c>
      <c r="N52" s="327">
        <f t="shared" si="42"/>
        <v>24.92</v>
      </c>
      <c r="O52" s="904"/>
      <c r="P52" s="328" t="s">
        <v>200</v>
      </c>
      <c r="Q52" s="328">
        <v>700</v>
      </c>
      <c r="R52" s="240">
        <v>35.6</v>
      </c>
      <c r="S52" s="268">
        <f t="shared" si="30"/>
        <v>3094</v>
      </c>
      <c r="T52" s="251">
        <f t="shared" si="43"/>
        <v>124.15730337078651</v>
      </c>
      <c r="U52" s="251">
        <v>3029</v>
      </c>
      <c r="V52" s="240">
        <v>81.53</v>
      </c>
      <c r="W52" s="240">
        <v>1.8</v>
      </c>
      <c r="X52" s="286">
        <f t="shared" ref="X52:X57" si="46">P21*W21</f>
        <v>3094.6733999999997</v>
      </c>
      <c r="Y52" s="242">
        <f t="shared" si="44"/>
        <v>1.1340577166205543</v>
      </c>
      <c r="Z52" s="243">
        <f t="shared" si="45"/>
        <v>1.0214592274678111</v>
      </c>
      <c r="AB52" s="292">
        <v>3021</v>
      </c>
      <c r="AC52" s="211">
        <v>115</v>
      </c>
      <c r="AD52" s="211">
        <v>2877</v>
      </c>
      <c r="AE52" s="292">
        <f t="shared" si="35"/>
        <v>109.30851063829788</v>
      </c>
      <c r="AF52" s="293">
        <f t="shared" si="36"/>
        <v>1.0241641840450182</v>
      </c>
      <c r="AG52" s="294">
        <f t="shared" si="36"/>
        <v>1.0796287249633609</v>
      </c>
      <c r="AH52" s="293">
        <f t="shared" si="37"/>
        <v>1.0754257907542579</v>
      </c>
      <c r="AI52" s="294">
        <f t="shared" si="37"/>
        <v>1.1358429700101149</v>
      </c>
    </row>
    <row r="53" spans="1:35">
      <c r="A53" s="297">
        <f t="shared" si="38"/>
        <v>6.23</v>
      </c>
      <c r="B53" s="904"/>
      <c r="C53" s="328" t="s">
        <v>200</v>
      </c>
      <c r="D53" s="328">
        <v>175</v>
      </c>
      <c r="E53" s="240">
        <v>35.6</v>
      </c>
      <c r="F53" s="268">
        <f t="shared" si="39"/>
        <v>625</v>
      </c>
      <c r="G53" s="251">
        <f t="shared" si="40"/>
        <v>100.32102728731941</v>
      </c>
      <c r="H53" s="251">
        <v>624</v>
      </c>
      <c r="I53" s="240">
        <f t="shared" si="27"/>
        <v>94.46</v>
      </c>
      <c r="J53" s="240">
        <f t="shared" si="27"/>
        <v>59.39</v>
      </c>
      <c r="K53" s="253">
        <f t="shared" si="41"/>
        <v>625.77</v>
      </c>
      <c r="L53" s="243">
        <f t="shared" si="28"/>
        <v>0.94799272837448867</v>
      </c>
      <c r="M53" s="242">
        <f t="shared" si="29"/>
        <v>1.0016025641025641</v>
      </c>
      <c r="N53" s="327">
        <f t="shared" si="42"/>
        <v>24.92</v>
      </c>
      <c r="O53" s="904">
        <v>90</v>
      </c>
      <c r="P53" s="669" t="s">
        <v>247</v>
      </c>
      <c r="Q53" s="328">
        <v>700</v>
      </c>
      <c r="R53" s="240">
        <v>35.6</v>
      </c>
      <c r="S53" s="268">
        <f t="shared" si="30"/>
        <v>2999</v>
      </c>
      <c r="T53" s="251">
        <f t="shared" si="43"/>
        <v>120.34510433386838</v>
      </c>
      <c r="U53" s="251"/>
      <c r="V53" s="240">
        <v>92.237340828447486</v>
      </c>
      <c r="W53" s="240">
        <v>58.913783694464655</v>
      </c>
      <c r="X53" s="286">
        <f t="shared" si="46"/>
        <v>2999.3530522212104</v>
      </c>
      <c r="Y53" s="242">
        <f t="shared" si="44"/>
        <v>1.0991271239610865</v>
      </c>
      <c r="Z53" s="243" t="e">
        <f t="shared" si="45"/>
        <v>#DIV/0!</v>
      </c>
      <c r="AB53" s="292"/>
      <c r="AD53" s="211">
        <v>2722</v>
      </c>
      <c r="AE53" s="292">
        <f t="shared" si="35"/>
        <v>103.41945288753799</v>
      </c>
      <c r="AF53" s="293" t="e">
        <f t="shared" si="36"/>
        <v>#DIV/0!</v>
      </c>
      <c r="AG53" s="294" t="e">
        <f t="shared" si="36"/>
        <v>#DIV/0!</v>
      </c>
      <c r="AH53" s="293">
        <f t="shared" si="37"/>
        <v>1.1017634092578985</v>
      </c>
      <c r="AI53" s="294">
        <f t="shared" si="37"/>
        <v>1.1636602300027243</v>
      </c>
    </row>
    <row r="54" spans="1:35">
      <c r="A54" s="297">
        <f t="shared" si="38"/>
        <v>6.23</v>
      </c>
      <c r="B54" s="904">
        <v>97</v>
      </c>
      <c r="C54" s="328" t="s">
        <v>196</v>
      </c>
      <c r="D54" s="328">
        <v>175</v>
      </c>
      <c r="E54" s="240">
        <v>35.6</v>
      </c>
      <c r="F54" s="268">
        <f t="shared" si="39"/>
        <v>660</v>
      </c>
      <c r="G54" s="251">
        <f t="shared" si="40"/>
        <v>105.93900481540931</v>
      </c>
      <c r="H54" s="251"/>
      <c r="I54" s="240">
        <v>97.620471482968199</v>
      </c>
      <c r="J54" s="240">
        <v>88.290886271477902</v>
      </c>
      <c r="K54" s="286">
        <f t="shared" si="41"/>
        <v>660.69070405445962</v>
      </c>
      <c r="L54" s="243">
        <f t="shared" si="28"/>
        <v>1.0008948705566727</v>
      </c>
      <c r="N54" s="327">
        <f t="shared" si="42"/>
        <v>24.92</v>
      </c>
      <c r="O54" s="904"/>
      <c r="P54" s="328" t="s">
        <v>196</v>
      </c>
      <c r="Q54" s="328">
        <v>700</v>
      </c>
      <c r="R54" s="240">
        <v>35.6</v>
      </c>
      <c r="S54" s="268">
        <f t="shared" si="30"/>
        <v>2920</v>
      </c>
      <c r="T54" s="251">
        <f t="shared" si="43"/>
        <v>117.17495987158908</v>
      </c>
      <c r="U54" s="251">
        <v>2868</v>
      </c>
      <c r="V54" s="240">
        <v>93.88</v>
      </c>
      <c r="W54" s="240">
        <v>63.85</v>
      </c>
      <c r="X54" s="673">
        <f t="shared" si="46"/>
        <v>2920.83</v>
      </c>
      <c r="Y54" s="242">
        <f t="shared" si="44"/>
        <v>1.0703519797716987</v>
      </c>
      <c r="Z54" s="243">
        <f t="shared" si="45"/>
        <v>1.0181311018131103</v>
      </c>
      <c r="AB54" s="292">
        <v>2750</v>
      </c>
      <c r="AC54" s="211">
        <v>104</v>
      </c>
      <c r="AD54" s="211">
        <v>2671</v>
      </c>
      <c r="AE54" s="292">
        <f t="shared" si="35"/>
        <v>101.48176291793312</v>
      </c>
      <c r="AF54" s="293">
        <f t="shared" si="36"/>
        <v>1.0618181818181818</v>
      </c>
      <c r="AG54" s="294">
        <f t="shared" si="36"/>
        <v>1.1266823064575873</v>
      </c>
      <c r="AH54" s="293">
        <f t="shared" si="37"/>
        <v>1.0932235117933358</v>
      </c>
      <c r="AI54" s="294">
        <f t="shared" si="37"/>
        <v>1.1546405630176806</v>
      </c>
    </row>
    <row r="55" spans="1:35">
      <c r="A55" s="297">
        <f t="shared" si="38"/>
        <v>6.23</v>
      </c>
      <c r="B55" s="904"/>
      <c r="C55" s="328" t="s">
        <v>198</v>
      </c>
      <c r="D55" s="328">
        <v>175</v>
      </c>
      <c r="E55" s="240">
        <v>35.6</v>
      </c>
      <c r="F55" s="268">
        <f t="shared" si="39"/>
        <v>586</v>
      </c>
      <c r="G55" s="251">
        <f t="shared" si="40"/>
        <v>94.060995184590681</v>
      </c>
      <c r="H55" s="251"/>
      <c r="I55" s="240">
        <f>G24</f>
        <v>97.675708323579642</v>
      </c>
      <c r="J55" s="240">
        <f>H24</f>
        <v>89.00569196817122</v>
      </c>
      <c r="K55" s="253">
        <f t="shared" si="41"/>
        <v>586.62250225407638</v>
      </c>
      <c r="L55" s="243">
        <f t="shared" si="28"/>
        <v>0.88868732351776447</v>
      </c>
      <c r="N55" s="327">
        <f t="shared" si="42"/>
        <v>24.92</v>
      </c>
      <c r="O55" s="904"/>
      <c r="P55" s="670" t="s">
        <v>244</v>
      </c>
      <c r="Q55" s="328">
        <v>700</v>
      </c>
      <c r="R55" s="240">
        <v>35.6</v>
      </c>
      <c r="S55" s="268">
        <f t="shared" si="30"/>
        <v>2879</v>
      </c>
      <c r="T55" s="251">
        <f t="shared" si="43"/>
        <v>115.52969502407704</v>
      </c>
      <c r="U55" s="251">
        <v>2761</v>
      </c>
      <c r="V55" s="240">
        <v>93.224936909791651</v>
      </c>
      <c r="W55" s="240">
        <v>57.992813080397433</v>
      </c>
      <c r="X55" s="286">
        <f t="shared" si="46"/>
        <v>2879.5180844731735</v>
      </c>
      <c r="Y55" s="242">
        <f t="shared" si="44"/>
        <v>1.0552130327695453</v>
      </c>
      <c r="Z55" s="243">
        <f t="shared" si="45"/>
        <v>1.0427381383556682</v>
      </c>
      <c r="AB55" s="292">
        <v>2680</v>
      </c>
      <c r="AC55" s="211">
        <v>102</v>
      </c>
      <c r="AD55" s="211">
        <v>2616</v>
      </c>
      <c r="AE55" s="292">
        <f t="shared" si="35"/>
        <v>99.392097264437695</v>
      </c>
      <c r="AF55" s="293">
        <f t="shared" si="36"/>
        <v>1.0742537313432836</v>
      </c>
      <c r="AG55" s="294">
        <f t="shared" si="36"/>
        <v>1.1326440688635004</v>
      </c>
      <c r="AH55" s="293">
        <f t="shared" si="37"/>
        <v>1.1005351681957187</v>
      </c>
      <c r="AI55" s="294">
        <f t="shared" si="37"/>
        <v>1.1623629866336802</v>
      </c>
    </row>
    <row r="56" spans="1:35">
      <c r="A56" s="297">
        <f t="shared" si="38"/>
        <v>6.23</v>
      </c>
      <c r="B56" s="904"/>
      <c r="C56" s="328" t="s">
        <v>200</v>
      </c>
      <c r="D56" s="328">
        <v>175</v>
      </c>
      <c r="E56" s="240">
        <v>35.6</v>
      </c>
      <c r="F56" s="268">
        <f t="shared" si="39"/>
        <v>562</v>
      </c>
      <c r="G56" s="251">
        <f t="shared" si="40"/>
        <v>90.208667736757619</v>
      </c>
      <c r="H56" s="251"/>
      <c r="I56" s="240">
        <f>G25</f>
        <v>97.01542965096732</v>
      </c>
      <c r="J56" s="240">
        <f>H25</f>
        <v>87.192926671728188</v>
      </c>
      <c r="K56" s="253">
        <f t="shared" si="41"/>
        <v>562.65067889417594</v>
      </c>
      <c r="L56" s="243">
        <f t="shared" si="28"/>
        <v>0.85237188137278586</v>
      </c>
      <c r="N56" s="327">
        <f t="shared" si="42"/>
        <v>24.92</v>
      </c>
      <c r="O56" s="904"/>
      <c r="P56" s="328" t="s">
        <v>198</v>
      </c>
      <c r="Q56" s="328">
        <v>700</v>
      </c>
      <c r="R56" s="240">
        <v>35.6</v>
      </c>
      <c r="S56" s="268">
        <f t="shared" si="30"/>
        <v>2728</v>
      </c>
      <c r="T56" s="251">
        <f t="shared" si="43"/>
        <v>109.47030497592294</v>
      </c>
      <c r="U56" s="251">
        <v>2680</v>
      </c>
      <c r="V56" s="240">
        <v>93.83</v>
      </c>
      <c r="W56" s="240">
        <v>56.35</v>
      </c>
      <c r="X56" s="673">
        <f t="shared" si="46"/>
        <v>2728.85</v>
      </c>
      <c r="Y56" s="242">
        <f t="shared" si="44"/>
        <v>1</v>
      </c>
      <c r="Z56" s="243">
        <f t="shared" si="45"/>
        <v>1.017910447761194</v>
      </c>
      <c r="AB56" s="292">
        <v>2539</v>
      </c>
      <c r="AC56" s="211">
        <v>96</v>
      </c>
      <c r="AD56" s="211">
        <v>2565</v>
      </c>
      <c r="AE56" s="292">
        <f t="shared" si="35"/>
        <v>97.454407294832819</v>
      </c>
      <c r="AF56" s="293">
        <f t="shared" si="36"/>
        <v>1.0744387554155179</v>
      </c>
      <c r="AG56" s="294">
        <f t="shared" si="36"/>
        <v>1.1403156768325307</v>
      </c>
      <c r="AH56" s="293">
        <f t="shared" si="37"/>
        <v>1.0635477582846005</v>
      </c>
      <c r="AI56" s="294">
        <f t="shared" si="37"/>
        <v>1.123297632345533</v>
      </c>
    </row>
    <row r="57" spans="1:35">
      <c r="C57" s="249" t="s">
        <v>609</v>
      </c>
      <c r="F57" s="246">
        <f>ROUNDDOWN(K57,0)</f>
        <v>696</v>
      </c>
      <c r="K57" s="246">
        <f>K52*Y55</f>
        <v>696.5461229311768</v>
      </c>
      <c r="N57" s="327">
        <f t="shared" si="42"/>
        <v>24.92</v>
      </c>
      <c r="O57" s="904"/>
      <c r="P57" s="328" t="s">
        <v>200</v>
      </c>
      <c r="Q57" s="328">
        <v>700</v>
      </c>
      <c r="R57" s="240">
        <v>35.6</v>
      </c>
      <c r="S57" s="268">
        <f t="shared" si="30"/>
        <v>2560</v>
      </c>
      <c r="T57" s="251">
        <f t="shared" si="43"/>
        <v>102.72873194221508</v>
      </c>
      <c r="U57" s="251">
        <v>2573</v>
      </c>
      <c r="V57" s="240">
        <v>94.19</v>
      </c>
      <c r="W57" s="240">
        <v>58.24</v>
      </c>
      <c r="X57" s="673">
        <f t="shared" si="46"/>
        <v>2560.88</v>
      </c>
      <c r="Y57" s="242">
        <f t="shared" si="44"/>
        <v>0.93844659838393474</v>
      </c>
      <c r="Z57" s="243">
        <f t="shared" si="45"/>
        <v>0.99494753206373887</v>
      </c>
      <c r="AB57" s="292">
        <v>2414</v>
      </c>
      <c r="AC57" s="211">
        <v>92</v>
      </c>
      <c r="AD57" s="211">
        <v>2425</v>
      </c>
      <c r="AE57" s="292">
        <f t="shared" si="35"/>
        <v>92.135258358662611</v>
      </c>
      <c r="AF57" s="293">
        <f t="shared" si="36"/>
        <v>1.0604805302402651</v>
      </c>
      <c r="AG57" s="294">
        <f t="shared" si="36"/>
        <v>1.116616651545816</v>
      </c>
      <c r="AH57" s="293">
        <f t="shared" si="37"/>
        <v>1.0556701030927835</v>
      </c>
      <c r="AI57" s="294">
        <f t="shared" si="37"/>
        <v>1.1149774122552993</v>
      </c>
    </row>
    <row r="58" spans="1:35">
      <c r="N58" s="327">
        <f t="shared" si="42"/>
        <v>24.92</v>
      </c>
      <c r="O58" s="904"/>
      <c r="P58" s="669" t="s">
        <v>245</v>
      </c>
      <c r="Q58" s="328">
        <v>700</v>
      </c>
      <c r="R58" s="240">
        <v>35.6</v>
      </c>
      <c r="S58" s="268">
        <f t="shared" si="30"/>
        <v>2399</v>
      </c>
      <c r="T58" s="251">
        <f t="shared" si="43"/>
        <v>96.268057784911704</v>
      </c>
      <c r="U58" s="251"/>
      <c r="V58" s="240">
        <v>93.312668540445486</v>
      </c>
      <c r="W58" s="240">
        <v>54.521926358068363</v>
      </c>
      <c r="X58" s="286">
        <f>P27*X27</f>
        <v>2399.7596653270562</v>
      </c>
      <c r="Y58" s="242">
        <f t="shared" si="44"/>
        <v>0.87940328905108611</v>
      </c>
      <c r="Z58" s="243" t="e">
        <f t="shared" si="45"/>
        <v>#DIV/0!</v>
      </c>
      <c r="AD58" s="211">
        <v>2255</v>
      </c>
      <c r="AE58" s="292">
        <f t="shared" si="35"/>
        <v>85.676291793313069</v>
      </c>
      <c r="AF58" s="293" t="e">
        <f t="shared" si="36"/>
        <v>#DIV/0!</v>
      </c>
      <c r="AG58" s="294" t="e">
        <f t="shared" si="36"/>
        <v>#DIV/0!</v>
      </c>
      <c r="AH58" s="293">
        <f t="shared" si="37"/>
        <v>1.0638580931263859</v>
      </c>
      <c r="AI58" s="294">
        <f t="shared" si="37"/>
        <v>1.1236254017289915</v>
      </c>
    </row>
    <row r="59" spans="1:35">
      <c r="N59" s="327">
        <f t="shared" si="42"/>
        <v>24.92</v>
      </c>
      <c r="O59" s="904">
        <v>97</v>
      </c>
      <c r="P59" s="328" t="s">
        <v>196</v>
      </c>
      <c r="Q59" s="328">
        <v>700</v>
      </c>
      <c r="R59" s="240">
        <v>35.6</v>
      </c>
      <c r="S59" s="268">
        <f t="shared" si="30"/>
        <v>2696</v>
      </c>
      <c r="T59" s="251">
        <f t="shared" si="43"/>
        <v>108.18619582664526</v>
      </c>
      <c r="U59" s="251"/>
      <c r="V59" s="240">
        <v>97.371326019658497</v>
      </c>
      <c r="W59" s="240">
        <v>87.456817118458574</v>
      </c>
      <c r="X59" s="286">
        <f>P28*W28</f>
        <v>2696.9388526048219</v>
      </c>
      <c r="Y59" s="242">
        <f t="shared" si="44"/>
        <v>0.98830600897990806</v>
      </c>
      <c r="Z59" s="243" t="e">
        <f t="shared" si="45"/>
        <v>#DIV/0!</v>
      </c>
      <c r="AD59" s="211">
        <v>2379</v>
      </c>
      <c r="AE59" s="292">
        <f t="shared" si="35"/>
        <v>90.387537993920972</v>
      </c>
      <c r="AF59" s="293" t="e">
        <f t="shared" si="36"/>
        <v>#DIV/0!</v>
      </c>
      <c r="AG59" s="294" t="e">
        <f t="shared" si="36"/>
        <v>#DIV/0!</v>
      </c>
      <c r="AH59" s="293">
        <f t="shared" si="37"/>
        <v>1.1332492643968053</v>
      </c>
      <c r="AI59" s="294">
        <f t="shared" si="37"/>
        <v>1.1969149534078618</v>
      </c>
    </row>
    <row r="60" spans="1:35">
      <c r="B60" s="287" t="s">
        <v>610</v>
      </c>
      <c r="D60" s="211">
        <f>300*3</f>
        <v>900</v>
      </c>
      <c r="N60" s="327">
        <f t="shared" si="42"/>
        <v>24.92</v>
      </c>
      <c r="O60" s="904"/>
      <c r="P60" s="328" t="s">
        <v>198</v>
      </c>
      <c r="Q60" s="328">
        <v>700</v>
      </c>
      <c r="R60" s="240">
        <v>35.6</v>
      </c>
      <c r="S60" s="268">
        <f t="shared" si="30"/>
        <v>2446</v>
      </c>
      <c r="T60" s="251">
        <f t="shared" si="43"/>
        <v>98.154093097913318</v>
      </c>
      <c r="U60" s="251"/>
      <c r="V60" s="240">
        <v>98.16515912702333</v>
      </c>
      <c r="W60" s="240">
        <v>89.320201868266707</v>
      </c>
      <c r="X60" s="241">
        <f t="shared" ref="X60:X61" si="47">P29*W29</f>
        <v>2446.0835573679328</v>
      </c>
      <c r="Y60" s="242">
        <f t="shared" si="44"/>
        <v>0.89637889857190134</v>
      </c>
      <c r="Z60" s="243" t="e">
        <f t="shared" si="45"/>
        <v>#DIV/0!</v>
      </c>
      <c r="AD60" s="211">
        <v>2282</v>
      </c>
      <c r="AE60" s="292">
        <f t="shared" si="35"/>
        <v>86.702127659574472</v>
      </c>
      <c r="AF60" s="293" t="e">
        <f t="shared" si="36"/>
        <v>#DIV/0!</v>
      </c>
      <c r="AG60" s="294" t="e">
        <f t="shared" si="36"/>
        <v>#DIV/0!</v>
      </c>
      <c r="AH60" s="293">
        <f t="shared" si="37"/>
        <v>1.0718667835232252</v>
      </c>
      <c r="AI60" s="294">
        <f t="shared" si="37"/>
        <v>1.1320840185526198</v>
      </c>
    </row>
    <row r="61" spans="1:35">
      <c r="A61" s="249" t="s">
        <v>284</v>
      </c>
      <c r="B61" s="691" t="s">
        <v>181</v>
      </c>
      <c r="C61" s="691" t="s">
        <v>182</v>
      </c>
      <c r="D61" s="691" t="s">
        <v>214</v>
      </c>
      <c r="E61" s="691" t="s">
        <v>183</v>
      </c>
      <c r="F61" s="691" t="s">
        <v>184</v>
      </c>
      <c r="G61" s="691" t="s">
        <v>217</v>
      </c>
      <c r="H61" s="691" t="s">
        <v>185</v>
      </c>
      <c r="I61" s="691"/>
      <c r="J61" s="691"/>
      <c r="N61" s="327">
        <f t="shared" si="42"/>
        <v>24.92</v>
      </c>
      <c r="O61" s="904"/>
      <c r="P61" s="328" t="s">
        <v>200</v>
      </c>
      <c r="Q61" s="328">
        <v>700</v>
      </c>
      <c r="R61" s="240">
        <v>35.6</v>
      </c>
      <c r="S61" s="268">
        <f t="shared" si="30"/>
        <v>2319</v>
      </c>
      <c r="T61" s="251">
        <f t="shared" si="43"/>
        <v>93.057784911717491</v>
      </c>
      <c r="U61" s="251"/>
      <c r="V61" s="240">
        <v>97.162921371870695</v>
      </c>
      <c r="W61" s="240">
        <v>88.249243397269879</v>
      </c>
      <c r="X61" s="241">
        <f t="shared" si="47"/>
        <v>2319.5404407664237</v>
      </c>
      <c r="Y61" s="242">
        <f t="shared" si="44"/>
        <v>0.85000657447878181</v>
      </c>
      <c r="Z61" s="243" t="e">
        <f t="shared" si="45"/>
        <v>#DIV/0!</v>
      </c>
      <c r="AD61" s="211">
        <v>2158</v>
      </c>
      <c r="AE61" s="292">
        <f t="shared" si="35"/>
        <v>81.99088145896657</v>
      </c>
      <c r="AF61" s="293" t="e">
        <f t="shared" si="36"/>
        <v>#DIV/0!</v>
      </c>
      <c r="AG61" s="294" t="e">
        <f t="shared" si="36"/>
        <v>#DIV/0!</v>
      </c>
      <c r="AH61" s="293">
        <f t="shared" si="37"/>
        <v>1.0746061167747916</v>
      </c>
      <c r="AI61" s="294">
        <f t="shared" si="37"/>
        <v>1.1349772469306785</v>
      </c>
    </row>
    <row r="62" spans="1:35">
      <c r="A62" s="297">
        <f>D62*E62/1000</f>
        <v>0</v>
      </c>
      <c r="B62" s="904">
        <v>80</v>
      </c>
      <c r="C62" s="691" t="s">
        <v>196</v>
      </c>
      <c r="D62" s="691">
        <v>525</v>
      </c>
      <c r="E62" s="240"/>
      <c r="F62" s="268">
        <f>F48</f>
        <v>818</v>
      </c>
      <c r="G62" s="251" t="e">
        <f>F62/(D62*E62/1000)</f>
        <v>#DIV/0!</v>
      </c>
      <c r="H62" s="251"/>
      <c r="I62" s="240"/>
      <c r="J62" s="240"/>
    </row>
    <row r="63" spans="1:35">
      <c r="A63" s="297">
        <f t="shared" ref="A63:A70" si="48">D63*E63/1000</f>
        <v>0</v>
      </c>
      <c r="B63" s="904"/>
      <c r="C63" s="691" t="s">
        <v>198</v>
      </c>
      <c r="D63" s="691">
        <v>525</v>
      </c>
      <c r="E63" s="240"/>
      <c r="F63" s="268">
        <f t="shared" ref="F63:F71" si="49">F49</f>
        <v>779</v>
      </c>
      <c r="G63" s="251" t="e">
        <f t="shared" ref="G63:G70" si="50">F63/(D63*E63/1000)</f>
        <v>#DIV/0!</v>
      </c>
      <c r="H63" s="251"/>
      <c r="I63" s="240"/>
      <c r="J63" s="240"/>
    </row>
    <row r="64" spans="1:35">
      <c r="A64" s="297">
        <f t="shared" si="48"/>
        <v>0</v>
      </c>
      <c r="B64" s="904"/>
      <c r="C64" s="691" t="s">
        <v>200</v>
      </c>
      <c r="D64" s="691">
        <v>525</v>
      </c>
      <c r="E64" s="240"/>
      <c r="F64" s="268">
        <f t="shared" si="49"/>
        <v>745</v>
      </c>
      <c r="G64" s="251" t="e">
        <f t="shared" si="50"/>
        <v>#DIV/0!</v>
      </c>
      <c r="H64" s="251"/>
      <c r="I64" s="240"/>
      <c r="J64" s="240"/>
    </row>
    <row r="65" spans="1:10">
      <c r="A65" s="297">
        <f t="shared" si="48"/>
        <v>0</v>
      </c>
      <c r="B65" s="904">
        <v>90</v>
      </c>
      <c r="C65" s="691" t="s">
        <v>196</v>
      </c>
      <c r="D65" s="691">
        <v>525</v>
      </c>
      <c r="E65" s="240"/>
      <c r="F65" s="268">
        <f t="shared" si="49"/>
        <v>716</v>
      </c>
      <c r="G65" s="251" t="e">
        <f t="shared" si="50"/>
        <v>#DIV/0!</v>
      </c>
      <c r="H65" s="251"/>
      <c r="I65" s="240"/>
      <c r="J65" s="240"/>
    </row>
    <row r="66" spans="1:10">
      <c r="A66" s="297">
        <f t="shared" si="48"/>
        <v>0</v>
      </c>
      <c r="B66" s="904"/>
      <c r="C66" s="691" t="s">
        <v>198</v>
      </c>
      <c r="D66" s="691">
        <v>525</v>
      </c>
      <c r="E66" s="240"/>
      <c r="F66" s="268">
        <f t="shared" si="49"/>
        <v>660</v>
      </c>
      <c r="G66" s="251" t="e">
        <f t="shared" si="50"/>
        <v>#DIV/0!</v>
      </c>
      <c r="H66" s="251"/>
      <c r="I66" s="240"/>
      <c r="J66" s="240"/>
    </row>
    <row r="67" spans="1:10">
      <c r="A67" s="297">
        <f t="shared" si="48"/>
        <v>0</v>
      </c>
      <c r="B67" s="904"/>
      <c r="C67" s="691" t="s">
        <v>200</v>
      </c>
      <c r="D67" s="691">
        <v>525</v>
      </c>
      <c r="E67" s="240"/>
      <c r="F67" s="268">
        <f t="shared" si="49"/>
        <v>625</v>
      </c>
      <c r="G67" s="251" t="e">
        <f t="shared" si="50"/>
        <v>#DIV/0!</v>
      </c>
      <c r="H67" s="251"/>
      <c r="I67" s="240"/>
      <c r="J67" s="240"/>
    </row>
    <row r="68" spans="1:10">
      <c r="A68" s="297">
        <f t="shared" si="48"/>
        <v>0</v>
      </c>
      <c r="B68" s="904">
        <v>97</v>
      </c>
      <c r="C68" s="691" t="s">
        <v>196</v>
      </c>
      <c r="D68" s="691">
        <v>525</v>
      </c>
      <c r="E68" s="240"/>
      <c r="F68" s="268">
        <f t="shared" si="49"/>
        <v>660</v>
      </c>
      <c r="G68" s="251" t="e">
        <f t="shared" si="50"/>
        <v>#DIV/0!</v>
      </c>
      <c r="H68" s="251"/>
      <c r="I68" s="240"/>
      <c r="J68" s="240"/>
    </row>
    <row r="69" spans="1:10">
      <c r="A69" s="297">
        <f t="shared" si="48"/>
        <v>0</v>
      </c>
      <c r="B69" s="904"/>
      <c r="C69" s="691" t="s">
        <v>198</v>
      </c>
      <c r="D69" s="691">
        <v>525</v>
      </c>
      <c r="E69" s="240"/>
      <c r="F69" s="268">
        <f t="shared" si="49"/>
        <v>586</v>
      </c>
      <c r="G69" s="251" t="e">
        <f t="shared" si="50"/>
        <v>#DIV/0!</v>
      </c>
      <c r="H69" s="251"/>
      <c r="I69" s="240"/>
      <c r="J69" s="240"/>
    </row>
    <row r="70" spans="1:10">
      <c r="A70" s="297">
        <f t="shared" si="48"/>
        <v>0</v>
      </c>
      <c r="B70" s="904"/>
      <c r="C70" s="691" t="s">
        <v>200</v>
      </c>
      <c r="D70" s="691">
        <v>525</v>
      </c>
      <c r="E70" s="240"/>
      <c r="F70" s="268">
        <f t="shared" si="49"/>
        <v>562</v>
      </c>
      <c r="G70" s="251" t="e">
        <f t="shared" si="50"/>
        <v>#DIV/0!</v>
      </c>
      <c r="H70" s="251"/>
      <c r="I70" s="240"/>
      <c r="J70" s="240"/>
    </row>
    <row r="71" spans="1:10">
      <c r="C71" s="249" t="s">
        <v>609</v>
      </c>
      <c r="F71" s="246">
        <f t="shared" si="49"/>
        <v>696</v>
      </c>
    </row>
  </sheetData>
  <sheetProtection password="A7EA" sheet="1" objects="1" scenarios="1"/>
  <mergeCells count="30">
    <mergeCell ref="M28:M30"/>
    <mergeCell ref="B5:B7"/>
    <mergeCell ref="M5:M7"/>
    <mergeCell ref="B8:B10"/>
    <mergeCell ref="M8:M10"/>
    <mergeCell ref="B11:B13"/>
    <mergeCell ref="M11:M13"/>
    <mergeCell ref="B17:B19"/>
    <mergeCell ref="M17:M21"/>
    <mergeCell ref="B20:B22"/>
    <mergeCell ref="M22:M27"/>
    <mergeCell ref="B23:B25"/>
    <mergeCell ref="B35:B37"/>
    <mergeCell ref="O35:O37"/>
    <mergeCell ref="AB35:AB37"/>
    <mergeCell ref="B38:B40"/>
    <mergeCell ref="O38:O40"/>
    <mergeCell ref="AB38:AB40"/>
    <mergeCell ref="AB41:AB43"/>
    <mergeCell ref="B48:B50"/>
    <mergeCell ref="O48:O52"/>
    <mergeCell ref="B51:B53"/>
    <mergeCell ref="O53:O58"/>
    <mergeCell ref="B54:B56"/>
    <mergeCell ref="B62:B64"/>
    <mergeCell ref="B65:B67"/>
    <mergeCell ref="B68:B70"/>
    <mergeCell ref="O59:O61"/>
    <mergeCell ref="B41:B43"/>
    <mergeCell ref="O41:O43"/>
  </mergeCells>
  <phoneticPr fontId="7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2:AL99"/>
  <sheetViews>
    <sheetView zoomScale="60" zoomScaleNormal="60" workbookViewId="0">
      <selection activeCell="O55" sqref="O55"/>
    </sheetView>
  </sheetViews>
  <sheetFormatPr defaultRowHeight="18.75"/>
  <cols>
    <col min="1" max="1" width="9" style="211" customWidth="1"/>
    <col min="2" max="10" width="9" style="211"/>
    <col min="11" max="11" width="11.75" style="211" bestFit="1" customWidth="1"/>
    <col min="12" max="12" width="9.875" style="211" customWidth="1"/>
    <col min="13" max="14" width="9" style="211"/>
    <col min="15" max="15" width="9.125" style="211" bestFit="1" customWidth="1"/>
    <col min="16" max="16" width="10.25" style="211" bestFit="1" customWidth="1"/>
    <col min="17" max="17" width="9" style="211"/>
    <col min="18" max="19" width="9.125" style="211" bestFit="1" customWidth="1"/>
    <col min="20" max="21" width="9" style="211"/>
    <col min="22" max="22" width="11.75" style="211" bestFit="1" customWidth="1"/>
    <col min="23" max="16384" width="9" style="211"/>
  </cols>
  <sheetData>
    <row r="2" spans="1:25">
      <c r="P2" s="297"/>
      <c r="Y2" s="298"/>
    </row>
    <row r="3" spans="1:25">
      <c r="B3" s="211" t="s">
        <v>179</v>
      </c>
      <c r="M3" s="211" t="s">
        <v>180</v>
      </c>
    </row>
    <row r="4" spans="1:25">
      <c r="B4" s="727" t="s">
        <v>181</v>
      </c>
      <c r="C4" s="727" t="s">
        <v>182</v>
      </c>
      <c r="D4" s="727" t="s">
        <v>183</v>
      </c>
      <c r="E4" s="727" t="s">
        <v>184</v>
      </c>
      <c r="F4" s="727" t="s">
        <v>185</v>
      </c>
      <c r="G4" s="727" t="s">
        <v>181</v>
      </c>
      <c r="H4" s="727" t="s">
        <v>186</v>
      </c>
      <c r="I4" s="237" t="s">
        <v>187</v>
      </c>
      <c r="J4" s="238" t="s">
        <v>188</v>
      </c>
      <c r="K4" s="238" t="s">
        <v>189</v>
      </c>
      <c r="L4" s="665" t="s">
        <v>253</v>
      </c>
      <c r="M4" s="727" t="s">
        <v>181</v>
      </c>
      <c r="N4" s="727" t="s">
        <v>182</v>
      </c>
      <c r="O4" s="727" t="s">
        <v>183</v>
      </c>
      <c r="P4" s="727" t="s">
        <v>184</v>
      </c>
      <c r="Q4" s="727" t="s">
        <v>185</v>
      </c>
      <c r="R4" s="727" t="s">
        <v>181</v>
      </c>
      <c r="S4" s="727" t="s">
        <v>186</v>
      </c>
      <c r="T4" s="237" t="s">
        <v>187</v>
      </c>
      <c r="U4" s="238" t="s">
        <v>188</v>
      </c>
      <c r="V4" s="238" t="s">
        <v>189</v>
      </c>
      <c r="W4" s="665" t="s">
        <v>253</v>
      </c>
      <c r="X4" s="291" t="s">
        <v>593</v>
      </c>
    </row>
    <row r="5" spans="1:25">
      <c r="B5" s="904">
        <v>80</v>
      </c>
      <c r="C5" s="727" t="s">
        <v>196</v>
      </c>
      <c r="D5" s="240">
        <v>21.330763823851658</v>
      </c>
      <c r="E5" s="664">
        <v>477.87339226696986</v>
      </c>
      <c r="F5" s="240"/>
      <c r="G5" s="240">
        <v>84.476422966096393</v>
      </c>
      <c r="H5" s="240">
        <v>13.385230494575859</v>
      </c>
      <c r="I5" s="241">
        <v>32</v>
      </c>
      <c r="J5" s="242">
        <f t="shared" ref="J5:J8" si="0">E5/$E$9</f>
        <v>1.227835026379676</v>
      </c>
      <c r="K5" s="242"/>
      <c r="L5" s="244">
        <v>1</v>
      </c>
      <c r="M5" s="905">
        <v>80</v>
      </c>
      <c r="N5" s="730" t="s">
        <v>196</v>
      </c>
      <c r="O5" s="731">
        <v>35.487000000000002</v>
      </c>
      <c r="P5" s="731">
        <v>1658.87</v>
      </c>
      <c r="Q5" s="731">
        <v>1638</v>
      </c>
      <c r="R5" s="731">
        <v>84.48</v>
      </c>
      <c r="S5" s="731">
        <v>14.31</v>
      </c>
      <c r="T5" s="241">
        <v>32</v>
      </c>
      <c r="U5" s="242">
        <f t="shared" ref="U5:U18" si="1">P5/$P$11</f>
        <v>1.2355929299775803</v>
      </c>
      <c r="V5" s="243">
        <f>P5/Q5</f>
        <v>1.0127411477411477</v>
      </c>
      <c r="W5" s="244">
        <v>1</v>
      </c>
    </row>
    <row r="6" spans="1:25">
      <c r="B6" s="904"/>
      <c r="C6" s="727" t="s">
        <v>198</v>
      </c>
      <c r="D6" s="240">
        <v>21.280026456840233</v>
      </c>
      <c r="E6" s="664">
        <v>456.03338156119264</v>
      </c>
      <c r="F6" s="240"/>
      <c r="G6" s="240">
        <v>83.204503509081491</v>
      </c>
      <c r="H6" s="240">
        <v>8.0519831021613868</v>
      </c>
      <c r="I6" s="241">
        <v>32</v>
      </c>
      <c r="J6" s="242">
        <f t="shared" si="0"/>
        <v>1.1717198909588711</v>
      </c>
      <c r="K6" s="242"/>
      <c r="L6" s="283">
        <v>0.99</v>
      </c>
      <c r="M6" s="906"/>
      <c r="N6" s="285" t="s">
        <v>244</v>
      </c>
      <c r="O6" s="240">
        <v>35.756758171916715</v>
      </c>
      <c r="P6" s="240">
        <v>1627.2083351489655</v>
      </c>
      <c r="Q6" s="240"/>
      <c r="R6" s="240">
        <v>84.177757592166969</v>
      </c>
      <c r="S6" s="240">
        <v>14.200795182763823</v>
      </c>
      <c r="T6" s="249">
        <v>32</v>
      </c>
      <c r="U6" s="242">
        <f t="shared" si="1"/>
        <v>1.2120100517283758</v>
      </c>
      <c r="V6" s="243" t="e">
        <f>P6/Q6</f>
        <v>#DIV/0!</v>
      </c>
      <c r="W6" s="244">
        <v>1</v>
      </c>
    </row>
    <row r="7" spans="1:25">
      <c r="B7" s="904"/>
      <c r="C7" s="727" t="s">
        <v>200</v>
      </c>
      <c r="D7" s="664">
        <v>21.293816690903999</v>
      </c>
      <c r="E7" s="664">
        <v>439.91652740565922</v>
      </c>
      <c r="F7" s="240"/>
      <c r="G7" s="240">
        <v>81.843295378226685</v>
      </c>
      <c r="H7" s="240">
        <v>3.3639841277043443</v>
      </c>
      <c r="I7" s="241">
        <v>32</v>
      </c>
      <c r="J7" s="242">
        <f t="shared" si="0"/>
        <v>1.1303096798706558</v>
      </c>
      <c r="K7" s="242"/>
      <c r="L7" s="283">
        <v>0.98</v>
      </c>
      <c r="M7" s="906"/>
      <c r="N7" s="732" t="s">
        <v>198</v>
      </c>
      <c r="O7" s="733">
        <v>35.417000000000002</v>
      </c>
      <c r="P7" s="733">
        <v>1592.48</v>
      </c>
      <c r="Q7" s="733">
        <v>1572</v>
      </c>
      <c r="R7" s="733">
        <v>82.71</v>
      </c>
      <c r="S7" s="733">
        <v>5.81</v>
      </c>
      <c r="T7" s="241">
        <v>31</v>
      </c>
      <c r="U7" s="242">
        <f t="shared" si="1"/>
        <v>1.1861429944062507</v>
      </c>
      <c r="V7" s="243">
        <f t="shared" ref="V7:V10" si="2">P7/Q7</f>
        <v>1.013027989821883</v>
      </c>
      <c r="W7" s="283">
        <v>0.99</v>
      </c>
    </row>
    <row r="8" spans="1:25">
      <c r="B8" s="904">
        <v>90</v>
      </c>
      <c r="C8" s="727" t="s">
        <v>196</v>
      </c>
      <c r="D8" s="240">
        <v>21.27834027488267</v>
      </c>
      <c r="E8" s="664">
        <v>416.73304362781477</v>
      </c>
      <c r="F8" s="240"/>
      <c r="G8" s="240">
        <v>94.145130864703887</v>
      </c>
      <c r="H8" s="240">
        <v>63.468100903174289</v>
      </c>
      <c r="I8" s="241">
        <v>32</v>
      </c>
      <c r="J8" s="242">
        <f t="shared" si="0"/>
        <v>1.070742660914221</v>
      </c>
      <c r="K8" s="242"/>
      <c r="L8" s="244">
        <v>1</v>
      </c>
      <c r="M8" s="907"/>
      <c r="N8" s="727" t="s">
        <v>200</v>
      </c>
      <c r="O8" s="240">
        <v>35.631999999999998</v>
      </c>
      <c r="P8" s="240">
        <v>1533.64</v>
      </c>
      <c r="Q8" s="240">
        <v>1480</v>
      </c>
      <c r="R8" s="240">
        <v>81.44</v>
      </c>
      <c r="S8" s="240">
        <v>1.83</v>
      </c>
      <c r="T8" s="241">
        <v>32</v>
      </c>
      <c r="U8" s="242">
        <f t="shared" si="1"/>
        <v>1.1423166017414363</v>
      </c>
      <c r="V8" s="243">
        <f t="shared" si="2"/>
        <v>1.0362432432432434</v>
      </c>
      <c r="W8" s="283">
        <v>0.98</v>
      </c>
    </row>
    <row r="9" spans="1:25">
      <c r="B9" s="904"/>
      <c r="C9" s="727" t="s">
        <v>198</v>
      </c>
      <c r="D9" s="240">
        <v>21.28</v>
      </c>
      <c r="E9" s="664">
        <v>389.2</v>
      </c>
      <c r="F9" s="240"/>
      <c r="G9" s="240">
        <v>94.45</v>
      </c>
      <c r="H9" s="240">
        <v>58.7</v>
      </c>
      <c r="I9" s="241">
        <v>86</v>
      </c>
      <c r="J9" s="242">
        <f>E9/$E$9</f>
        <v>1</v>
      </c>
      <c r="K9" s="242"/>
      <c r="L9" s="244">
        <v>1</v>
      </c>
      <c r="M9" s="905">
        <v>90</v>
      </c>
      <c r="N9" s="730" t="s">
        <v>196</v>
      </c>
      <c r="O9" s="731">
        <v>35.499000000000002</v>
      </c>
      <c r="P9" s="731">
        <v>1424.78</v>
      </c>
      <c r="Q9" s="731">
        <v>1402</v>
      </c>
      <c r="R9" s="731">
        <v>93.91</v>
      </c>
      <c r="S9" s="731">
        <v>63.33</v>
      </c>
      <c r="T9" s="241">
        <v>32</v>
      </c>
      <c r="U9" s="242">
        <f t="shared" si="1"/>
        <v>1.061233306270809</v>
      </c>
      <c r="V9" s="243">
        <f t="shared" si="2"/>
        <v>1.0162482168330955</v>
      </c>
      <c r="W9" s="244">
        <v>1</v>
      </c>
    </row>
    <row r="10" spans="1:25">
      <c r="B10" s="904"/>
      <c r="C10" s="727" t="s">
        <v>200</v>
      </c>
      <c r="D10" s="240">
        <v>21.268678907990676</v>
      </c>
      <c r="E10" s="664">
        <v>368.62767112098339</v>
      </c>
      <c r="F10" s="240"/>
      <c r="G10" s="240">
        <v>93.756343591588163</v>
      </c>
      <c r="H10" s="240">
        <v>57.227037790973888</v>
      </c>
      <c r="I10" s="241">
        <v>32</v>
      </c>
      <c r="J10" s="242">
        <f>E10/$E$9</f>
        <v>0.94714201212996763</v>
      </c>
      <c r="K10" s="242"/>
      <c r="L10" s="244">
        <v>1</v>
      </c>
      <c r="M10" s="906"/>
      <c r="N10" s="285" t="s">
        <v>244</v>
      </c>
      <c r="O10" s="240">
        <v>35.609241080121549</v>
      </c>
      <c r="P10" s="240">
        <v>1420.6780846980241</v>
      </c>
      <c r="Q10" s="240"/>
      <c r="R10" s="240">
        <v>93.575656900240119</v>
      </c>
      <c r="S10" s="240">
        <v>60.856751788231925</v>
      </c>
      <c r="T10" s="249">
        <v>32</v>
      </c>
      <c r="U10" s="242">
        <f t="shared" si="1"/>
        <v>1.0581780351847756</v>
      </c>
      <c r="V10" s="243" t="e">
        <f t="shared" si="2"/>
        <v>#DIV/0!</v>
      </c>
      <c r="W10" s="244">
        <v>1</v>
      </c>
    </row>
    <row r="11" spans="1:25">
      <c r="A11" s="298">
        <f>E11/E12</f>
        <v>1.1004831988106383</v>
      </c>
      <c r="B11" s="904">
        <v>97</v>
      </c>
      <c r="C11" s="727" t="s">
        <v>196</v>
      </c>
      <c r="D11" s="240">
        <v>21.314221011673379</v>
      </c>
      <c r="E11" s="664">
        <v>378.27807950172325</v>
      </c>
      <c r="F11" s="264"/>
      <c r="G11" s="240">
        <v>97.402499893981755</v>
      </c>
      <c r="H11" s="240">
        <v>88.665831994943332</v>
      </c>
      <c r="I11" s="246">
        <v>32</v>
      </c>
      <c r="J11" s="242">
        <f t="shared" ref="J11:J15" si="3">E11/$E$9</f>
        <v>0.97193751156660657</v>
      </c>
      <c r="K11" s="239"/>
      <c r="L11" s="244">
        <v>1</v>
      </c>
      <c r="M11" s="906"/>
      <c r="N11" s="732" t="s">
        <v>198</v>
      </c>
      <c r="O11" s="733">
        <v>35.496000000000002</v>
      </c>
      <c r="P11" s="733">
        <v>1342.57</v>
      </c>
      <c r="Q11" s="733">
        <v>1310</v>
      </c>
      <c r="R11" s="733">
        <v>94.15</v>
      </c>
      <c r="S11" s="733">
        <v>58.43</v>
      </c>
      <c r="T11" s="241">
        <v>309</v>
      </c>
      <c r="U11" s="242">
        <f t="shared" si="1"/>
        <v>1</v>
      </c>
      <c r="V11" s="243">
        <f>P11/Q11</f>
        <v>1.0248625954198474</v>
      </c>
      <c r="W11" s="244">
        <v>1</v>
      </c>
    </row>
    <row r="12" spans="1:25">
      <c r="B12" s="904"/>
      <c r="C12" s="727" t="s">
        <v>198</v>
      </c>
      <c r="D12" s="240">
        <v>21.377521193810082</v>
      </c>
      <c r="E12" s="664">
        <v>343.738168752192</v>
      </c>
      <c r="F12" s="264"/>
      <c r="G12" s="240">
        <v>97.485603598564921</v>
      </c>
      <c r="H12" s="240">
        <v>90.411251171358543</v>
      </c>
      <c r="I12" s="246">
        <v>32</v>
      </c>
      <c r="J12" s="242">
        <f t="shared" si="3"/>
        <v>0.88319159494396715</v>
      </c>
      <c r="K12" s="239"/>
      <c r="L12" s="244">
        <v>1</v>
      </c>
      <c r="M12" s="907"/>
      <c r="N12" s="727" t="s">
        <v>200</v>
      </c>
      <c r="O12" s="240">
        <v>35.371000000000002</v>
      </c>
      <c r="P12" s="240">
        <v>1246.77</v>
      </c>
      <c r="Q12" s="240">
        <v>1258</v>
      </c>
      <c r="R12" s="240">
        <v>93.88</v>
      </c>
      <c r="S12" s="240">
        <v>57.55</v>
      </c>
      <c r="T12" s="241">
        <v>31</v>
      </c>
      <c r="U12" s="242">
        <f t="shared" si="1"/>
        <v>0.92864431649746382</v>
      </c>
      <c r="V12" s="243">
        <f>P12/Q12</f>
        <v>0.99107313195548485</v>
      </c>
      <c r="W12" s="244">
        <v>1</v>
      </c>
    </row>
    <row r="13" spans="1:25">
      <c r="B13" s="904"/>
      <c r="C13" s="727" t="s">
        <v>200</v>
      </c>
      <c r="D13" s="664">
        <v>21.359040031922028</v>
      </c>
      <c r="E13" s="664">
        <v>326.91843773828589</v>
      </c>
      <c r="F13" s="264"/>
      <c r="G13" s="664">
        <v>96.343175696142993</v>
      </c>
      <c r="H13" s="664">
        <v>89.221735618150291</v>
      </c>
      <c r="I13" s="246">
        <v>32</v>
      </c>
      <c r="J13" s="242">
        <f t="shared" si="3"/>
        <v>0.83997543098223504</v>
      </c>
      <c r="K13" s="239"/>
      <c r="L13" s="244">
        <v>1</v>
      </c>
      <c r="M13" s="905">
        <v>97</v>
      </c>
      <c r="N13" s="727" t="s">
        <v>196</v>
      </c>
      <c r="O13" s="674">
        <v>35.699045640145194</v>
      </c>
      <c r="P13" s="696">
        <v>1363.87757777464</v>
      </c>
      <c r="Q13" s="675"/>
      <c r="R13" s="240">
        <v>96.636404524984869</v>
      </c>
      <c r="S13" s="240">
        <v>84.244501957246683</v>
      </c>
      <c r="T13" s="246"/>
      <c r="U13" s="242">
        <f t="shared" si="1"/>
        <v>1.0158707387880259</v>
      </c>
      <c r="W13" s="244">
        <v>1</v>
      </c>
    </row>
    <row r="14" spans="1:25">
      <c r="B14" s="263">
        <v>80</v>
      </c>
      <c r="C14" s="263" t="s">
        <v>683</v>
      </c>
      <c r="D14" s="729">
        <v>21.639209178098071</v>
      </c>
      <c r="E14" s="729">
        <v>476.83603136267578</v>
      </c>
      <c r="F14" s="239"/>
      <c r="G14" s="729">
        <v>84.400646857723927</v>
      </c>
      <c r="H14" s="729">
        <v>13.562268849106545</v>
      </c>
      <c r="I14" s="246">
        <v>32</v>
      </c>
      <c r="J14" s="242">
        <f t="shared" si="3"/>
        <v>1.2251696592052308</v>
      </c>
      <c r="K14" s="239"/>
      <c r="L14" s="244">
        <v>1</v>
      </c>
      <c r="M14" s="906"/>
      <c r="N14" s="727" t="s">
        <v>198</v>
      </c>
      <c r="O14" s="240">
        <v>35.540363820633274</v>
      </c>
      <c r="P14" s="240">
        <v>1187.1670574869656</v>
      </c>
      <c r="Q14" s="240"/>
      <c r="R14" s="240">
        <v>97.412860609534931</v>
      </c>
      <c r="S14" s="240">
        <v>89.501509701449493</v>
      </c>
      <c r="T14" s="246"/>
      <c r="U14" s="242">
        <f t="shared" si="1"/>
        <v>0.8842496536396357</v>
      </c>
      <c r="W14" s="244">
        <v>1</v>
      </c>
    </row>
    <row r="15" spans="1:25">
      <c r="B15" s="263">
        <v>90</v>
      </c>
      <c r="C15" s="263" t="s">
        <v>685</v>
      </c>
      <c r="D15" s="729">
        <v>21.396779705135764</v>
      </c>
      <c r="E15" s="729">
        <v>412.74096288772546</v>
      </c>
      <c r="F15" s="239"/>
      <c r="G15" s="729">
        <v>93.695022426322623</v>
      </c>
      <c r="H15" s="729">
        <v>60.519168801650402</v>
      </c>
      <c r="I15" s="246">
        <v>30</v>
      </c>
      <c r="J15" s="242">
        <f t="shared" si="3"/>
        <v>1.0604855161555125</v>
      </c>
      <c r="K15" s="239"/>
      <c r="L15" s="244">
        <v>1</v>
      </c>
      <c r="M15" s="907"/>
      <c r="N15" s="727" t="s">
        <v>200</v>
      </c>
      <c r="O15" s="240">
        <v>35.661023034931375</v>
      </c>
      <c r="P15" s="240">
        <v>1130.4835265341935</v>
      </c>
      <c r="Q15" s="240"/>
      <c r="R15" s="240">
        <v>96.517215821554757</v>
      </c>
      <c r="S15" s="240">
        <v>87.487573837820264</v>
      </c>
      <c r="T15" s="246"/>
      <c r="U15" s="242">
        <f t="shared" si="1"/>
        <v>0.8420294856388818</v>
      </c>
      <c r="W15" s="244">
        <v>1</v>
      </c>
    </row>
    <row r="16" spans="1:25">
      <c r="B16" s="263">
        <v>97</v>
      </c>
      <c r="C16" s="263" t="s">
        <v>685</v>
      </c>
      <c r="D16" s="729">
        <v>21.557954743632195</v>
      </c>
      <c r="E16" s="729">
        <v>377.22194637505243</v>
      </c>
      <c r="F16" s="239"/>
      <c r="G16" s="729">
        <v>98.545374866882867</v>
      </c>
      <c r="H16" s="729">
        <v>87.943732956667588</v>
      </c>
      <c r="I16" s="246">
        <v>31</v>
      </c>
      <c r="J16" s="242">
        <f t="shared" ref="J16" si="4">E16/$E$9</f>
        <v>0.96922391154946674</v>
      </c>
      <c r="K16" s="239"/>
      <c r="L16" s="244">
        <v>1</v>
      </c>
      <c r="M16" s="249">
        <v>97</v>
      </c>
      <c r="N16" s="249" t="s">
        <v>673</v>
      </c>
      <c r="O16" s="247">
        <v>35.549679492296747</v>
      </c>
      <c r="P16" s="249">
        <v>1274.2023300504775</v>
      </c>
      <c r="R16" s="247">
        <v>98.390244698950525</v>
      </c>
      <c r="S16" s="247">
        <v>87.050563254354941</v>
      </c>
      <c r="T16" s="246"/>
      <c r="U16" s="242">
        <f t="shared" si="1"/>
        <v>0.94907701650601273</v>
      </c>
      <c r="W16" s="244">
        <v>1</v>
      </c>
    </row>
    <row r="17" spans="1:26">
      <c r="I17" s="246"/>
      <c r="J17" s="239"/>
      <c r="K17" s="239"/>
      <c r="M17" s="249">
        <v>90</v>
      </c>
      <c r="N17" s="249" t="s">
        <v>676</v>
      </c>
      <c r="O17" s="247">
        <v>35.569036876857268</v>
      </c>
      <c r="P17" s="249">
        <v>1477.4035502528768</v>
      </c>
      <c r="R17" s="247">
        <v>92.430325724671377</v>
      </c>
      <c r="S17" s="247">
        <v>58.250645819182296</v>
      </c>
      <c r="T17" s="246">
        <v>32</v>
      </c>
      <c r="U17" s="242">
        <f t="shared" si="1"/>
        <v>1.1004294377595782</v>
      </c>
      <c r="W17" s="762">
        <v>1</v>
      </c>
    </row>
    <row r="18" spans="1:26">
      <c r="I18" s="246"/>
      <c r="J18" s="239"/>
      <c r="K18" s="239"/>
      <c r="M18" s="249">
        <v>90</v>
      </c>
      <c r="N18" s="249" t="s">
        <v>678</v>
      </c>
      <c r="O18" s="247">
        <v>35.680309629729237</v>
      </c>
      <c r="P18" s="247">
        <v>1189.8484440378102</v>
      </c>
      <c r="R18" s="247">
        <v>92.793295292521478</v>
      </c>
      <c r="S18" s="247">
        <v>54.810456542469275</v>
      </c>
      <c r="T18" s="246">
        <v>27</v>
      </c>
      <c r="U18" s="242">
        <f t="shared" si="1"/>
        <v>0.88624685792011604</v>
      </c>
      <c r="X18" s="283">
        <v>0.99</v>
      </c>
    </row>
    <row r="19" spans="1:26">
      <c r="I19" s="246"/>
      <c r="J19" s="239"/>
      <c r="K19" s="239"/>
      <c r="M19" s="249"/>
      <c r="N19" s="249"/>
      <c r="O19" s="247"/>
      <c r="P19" s="249"/>
      <c r="R19" s="247"/>
      <c r="S19" s="247"/>
      <c r="T19" s="246"/>
      <c r="U19" s="242"/>
      <c r="W19" s="244"/>
    </row>
    <row r="20" spans="1:26">
      <c r="B20" s="211" t="s">
        <v>202</v>
      </c>
      <c r="I20" s="246"/>
      <c r="J20" s="239"/>
      <c r="K20" s="239"/>
      <c r="M20" s="288" t="s">
        <v>246</v>
      </c>
      <c r="T20" s="246"/>
      <c r="U20" s="239"/>
    </row>
    <row r="21" spans="1:26">
      <c r="B21" s="727" t="s">
        <v>181</v>
      </c>
      <c r="C21" s="727" t="s">
        <v>182</v>
      </c>
      <c r="D21" s="727" t="s">
        <v>183</v>
      </c>
      <c r="E21" s="727" t="s">
        <v>184</v>
      </c>
      <c r="F21" s="727" t="s">
        <v>185</v>
      </c>
      <c r="G21" s="727" t="s">
        <v>181</v>
      </c>
      <c r="H21" s="727" t="s">
        <v>186</v>
      </c>
      <c r="I21" s="237" t="s">
        <v>187</v>
      </c>
      <c r="J21" s="238" t="s">
        <v>188</v>
      </c>
      <c r="K21" s="238" t="s">
        <v>189</v>
      </c>
      <c r="L21" s="665" t="s">
        <v>253</v>
      </c>
      <c r="M21" s="727" t="s">
        <v>181</v>
      </c>
      <c r="N21" s="727" t="s">
        <v>182</v>
      </c>
      <c r="O21" s="727" t="s">
        <v>183</v>
      </c>
      <c r="P21" s="727" t="s">
        <v>184</v>
      </c>
      <c r="Q21" s="727" t="s">
        <v>185</v>
      </c>
      <c r="R21" s="727" t="s">
        <v>181</v>
      </c>
      <c r="S21" s="727" t="s">
        <v>186</v>
      </c>
      <c r="T21" s="237" t="s">
        <v>187</v>
      </c>
      <c r="U21" s="238" t="s">
        <v>188</v>
      </c>
      <c r="V21" s="238" t="s">
        <v>189</v>
      </c>
      <c r="W21" s="287" t="s">
        <v>253</v>
      </c>
      <c r="X21" s="291" t="s">
        <v>593</v>
      </c>
      <c r="Y21" s="287"/>
      <c r="Z21" s="287"/>
    </row>
    <row r="22" spans="1:26">
      <c r="A22" s="297"/>
      <c r="B22" s="904">
        <v>80</v>
      </c>
      <c r="C22" s="727" t="s">
        <v>196</v>
      </c>
      <c r="D22" s="240">
        <v>35.966000000000001</v>
      </c>
      <c r="E22" s="240">
        <v>818.44</v>
      </c>
      <c r="F22" s="240">
        <v>813</v>
      </c>
      <c r="G22" s="240">
        <v>84.66</v>
      </c>
      <c r="H22" s="240">
        <v>15.23</v>
      </c>
      <c r="I22" s="241">
        <v>31</v>
      </c>
      <c r="J22" s="242">
        <f t="shared" ref="J22:J25" si="5">E22/$E$26</f>
        <v>1.2398727465535526</v>
      </c>
      <c r="K22" s="242">
        <f>E22/F22</f>
        <v>1.0066912669126693</v>
      </c>
      <c r="L22" s="244">
        <v>1</v>
      </c>
      <c r="M22" s="904">
        <v>80</v>
      </c>
      <c r="N22" s="670" t="s">
        <v>243</v>
      </c>
      <c r="O22" s="240">
        <v>35.827707889599772</v>
      </c>
      <c r="P22" s="240">
        <v>3410.0854334160372</v>
      </c>
      <c r="Q22" s="240"/>
      <c r="R22" s="240">
        <v>84.221663626886453</v>
      </c>
      <c r="S22" s="240">
        <v>11.952354224617581</v>
      </c>
      <c r="T22" s="249">
        <v>15</v>
      </c>
      <c r="U22" s="242">
        <f t="shared" ref="U22:U33" si="6">P22/$P$30</f>
        <v>1.2496419493251874</v>
      </c>
      <c r="V22" s="243" t="e">
        <f>P22/Q22</f>
        <v>#DIV/0!</v>
      </c>
      <c r="W22" s="671">
        <v>1</v>
      </c>
      <c r="X22" s="244"/>
      <c r="Y22" s="667"/>
    </row>
    <row r="23" spans="1:26">
      <c r="B23" s="904"/>
      <c r="C23" s="727" t="s">
        <v>198</v>
      </c>
      <c r="D23" s="240">
        <v>36.051000000000002</v>
      </c>
      <c r="E23" s="240">
        <v>787.44</v>
      </c>
      <c r="F23" s="240">
        <v>780</v>
      </c>
      <c r="G23" s="240">
        <v>82.88</v>
      </c>
      <c r="H23" s="240">
        <v>6.55</v>
      </c>
      <c r="I23" s="241">
        <v>32</v>
      </c>
      <c r="J23" s="242">
        <f t="shared" si="5"/>
        <v>1.1929101651264959</v>
      </c>
      <c r="K23" s="242">
        <f t="shared" ref="K23:K27" si="7">E23/F23</f>
        <v>1.0095384615384617</v>
      </c>
      <c r="L23" s="283">
        <v>0.99</v>
      </c>
      <c r="M23" s="904"/>
      <c r="N23" s="727" t="s">
        <v>196</v>
      </c>
      <c r="O23" s="240">
        <v>35.697000000000003</v>
      </c>
      <c r="P23" s="240">
        <v>3363.34</v>
      </c>
      <c r="Q23" s="240">
        <v>3350</v>
      </c>
      <c r="R23" s="240">
        <v>84.12</v>
      </c>
      <c r="S23" s="240">
        <v>12.68</v>
      </c>
      <c r="T23" s="241">
        <v>44</v>
      </c>
      <c r="U23" s="242">
        <f t="shared" si="6"/>
        <v>1.232511863972003</v>
      </c>
      <c r="V23" s="243">
        <f>P23/Q23</f>
        <v>1.0039820895522389</v>
      </c>
      <c r="W23" s="671">
        <v>1</v>
      </c>
      <c r="X23" s="244"/>
    </row>
    <row r="24" spans="1:26">
      <c r="B24" s="904"/>
      <c r="C24" s="727" t="s">
        <v>200</v>
      </c>
      <c r="D24" s="240">
        <v>36.081000000000003</v>
      </c>
      <c r="E24" s="240">
        <v>760.62</v>
      </c>
      <c r="F24" s="240">
        <v>735</v>
      </c>
      <c r="G24" s="240">
        <v>81.48</v>
      </c>
      <c r="H24" s="240">
        <v>2.0499999999999998</v>
      </c>
      <c r="I24" s="241">
        <v>31</v>
      </c>
      <c r="J24" s="242">
        <f t="shared" si="5"/>
        <v>1.1522799575821845</v>
      </c>
      <c r="K24" s="242">
        <f t="shared" si="7"/>
        <v>1.0348571428571429</v>
      </c>
      <c r="L24" s="283">
        <v>0.98</v>
      </c>
      <c r="M24" s="904"/>
      <c r="N24" s="669" t="s">
        <v>244</v>
      </c>
      <c r="O24" s="240">
        <v>35.829483328394197</v>
      </c>
      <c r="P24" s="240">
        <v>3325.2025416782294</v>
      </c>
      <c r="Q24" s="240">
        <v>3297</v>
      </c>
      <c r="R24" s="240">
        <v>83.770479936283579</v>
      </c>
      <c r="S24" s="240">
        <v>9.8710725480912931</v>
      </c>
      <c r="T24" s="249">
        <v>26</v>
      </c>
      <c r="U24" s="242">
        <f t="shared" si="6"/>
        <v>1.2185362118395036</v>
      </c>
      <c r="V24" s="243">
        <f>P24/Q24</f>
        <v>1.0085540011156291</v>
      </c>
      <c r="W24" s="671">
        <v>1</v>
      </c>
      <c r="X24" s="244"/>
    </row>
    <row r="25" spans="1:26">
      <c r="B25" s="904">
        <v>90</v>
      </c>
      <c r="C25" s="727" t="s">
        <v>196</v>
      </c>
      <c r="D25" s="240">
        <v>35.476999999999997</v>
      </c>
      <c r="E25" s="240">
        <v>716.22</v>
      </c>
      <c r="F25" s="240">
        <v>696</v>
      </c>
      <c r="G25" s="240">
        <v>92.16</v>
      </c>
      <c r="H25" s="240">
        <v>57.54</v>
      </c>
      <c r="I25" s="241">
        <v>32</v>
      </c>
      <c r="J25" s="242">
        <f t="shared" si="5"/>
        <v>1.0850174216027875</v>
      </c>
      <c r="K25" s="242">
        <f t="shared" si="7"/>
        <v>1.0290517241379311</v>
      </c>
      <c r="L25" s="244">
        <v>1</v>
      </c>
      <c r="M25" s="904"/>
      <c r="N25" s="727" t="s">
        <v>198</v>
      </c>
      <c r="O25" s="240">
        <v>35.673999999999999</v>
      </c>
      <c r="P25" s="240">
        <v>3228.54</v>
      </c>
      <c r="Q25" s="240">
        <v>3216</v>
      </c>
      <c r="R25" s="664">
        <v>82.84</v>
      </c>
      <c r="S25" s="664">
        <v>6.34</v>
      </c>
      <c r="T25" s="241">
        <v>44</v>
      </c>
      <c r="U25" s="242">
        <f t="shared" si="6"/>
        <v>1.1831137658720707</v>
      </c>
      <c r="V25" s="243">
        <f t="shared" ref="V25:V26" si="8">P25/Q25</f>
        <v>1.0038992537313434</v>
      </c>
      <c r="W25" s="283">
        <v>0.99</v>
      </c>
    </row>
    <row r="26" spans="1:26">
      <c r="B26" s="904"/>
      <c r="C26" s="727" t="s">
        <v>198</v>
      </c>
      <c r="D26" s="240">
        <v>35.56</v>
      </c>
      <c r="E26" s="240">
        <v>660.1</v>
      </c>
      <c r="F26" s="240">
        <v>650</v>
      </c>
      <c r="G26" s="240">
        <v>93.82</v>
      </c>
      <c r="H26" s="240">
        <v>58.94</v>
      </c>
      <c r="I26" s="241">
        <v>320</v>
      </c>
      <c r="J26" s="242">
        <f>E26/$E$26</f>
        <v>1</v>
      </c>
      <c r="K26" s="242">
        <f t="shared" si="7"/>
        <v>1.0155384615384615</v>
      </c>
      <c r="L26" s="244">
        <v>1</v>
      </c>
      <c r="M26" s="904"/>
      <c r="N26" s="727" t="s">
        <v>200</v>
      </c>
      <c r="O26" s="240">
        <v>35.765999999999998</v>
      </c>
      <c r="P26" s="240">
        <v>3157.83</v>
      </c>
      <c r="Q26" s="240">
        <v>3029</v>
      </c>
      <c r="R26" s="664">
        <v>81.53</v>
      </c>
      <c r="S26" s="664">
        <v>1.8</v>
      </c>
      <c r="T26" s="241">
        <v>15</v>
      </c>
      <c r="U26" s="242">
        <f t="shared" si="6"/>
        <v>1.157201751653627</v>
      </c>
      <c r="V26" s="243">
        <f t="shared" si="8"/>
        <v>1.0425321888412018</v>
      </c>
      <c r="W26" s="668">
        <v>0.98</v>
      </c>
      <c r="X26" s="283"/>
    </row>
    <row r="27" spans="1:26">
      <c r="B27" s="904"/>
      <c r="C27" s="727" t="s">
        <v>200</v>
      </c>
      <c r="D27" s="240">
        <v>35.506999999999998</v>
      </c>
      <c r="E27" s="240">
        <v>625.77</v>
      </c>
      <c r="F27" s="240">
        <v>624</v>
      </c>
      <c r="G27" s="240">
        <v>94.46</v>
      </c>
      <c r="H27" s="240">
        <v>59.39</v>
      </c>
      <c r="I27" s="241">
        <v>32</v>
      </c>
      <c r="J27" s="242">
        <f>E27/$E$26</f>
        <v>0.94799272837448867</v>
      </c>
      <c r="K27" s="242">
        <f t="shared" si="7"/>
        <v>1.0028365384615385</v>
      </c>
      <c r="L27" s="244">
        <v>1</v>
      </c>
      <c r="M27" s="904">
        <v>90</v>
      </c>
      <c r="N27" s="669" t="s">
        <v>243</v>
      </c>
      <c r="O27" s="672">
        <v>35.94206821556169</v>
      </c>
      <c r="P27" s="672">
        <v>2999.3530522212104</v>
      </c>
      <c r="Q27" s="672"/>
      <c r="R27" s="672">
        <v>92.237340828447486</v>
      </c>
      <c r="S27" s="672">
        <v>58.913783694464655</v>
      </c>
      <c r="T27" s="249">
        <v>15</v>
      </c>
      <c r="U27" s="242">
        <f t="shared" si="6"/>
        <v>1.0991271239610865</v>
      </c>
      <c r="V27" s="243" t="e">
        <f>P27/Q27</f>
        <v>#DIV/0!</v>
      </c>
      <c r="W27" s="671">
        <v>1</v>
      </c>
      <c r="X27" s="283"/>
    </row>
    <row r="28" spans="1:26">
      <c r="A28" s="298">
        <f>E28/E29</f>
        <v>1.1262621217491295</v>
      </c>
      <c r="B28" s="904">
        <v>97</v>
      </c>
      <c r="C28" s="727" t="s">
        <v>196</v>
      </c>
      <c r="D28" s="240">
        <v>35.698383421201861</v>
      </c>
      <c r="E28" s="240">
        <v>660.69070405445962</v>
      </c>
      <c r="F28" s="264"/>
      <c r="G28" s="240">
        <v>97.620471482968199</v>
      </c>
      <c r="H28" s="240">
        <v>88.290886271477902</v>
      </c>
      <c r="I28" s="249">
        <v>30</v>
      </c>
      <c r="J28" s="242">
        <f>E28/$E$26</f>
        <v>1.0008948705566727</v>
      </c>
      <c r="L28" s="244">
        <v>1</v>
      </c>
      <c r="M28" s="904"/>
      <c r="N28" s="727" t="s">
        <v>196</v>
      </c>
      <c r="O28" s="240">
        <v>35.704999999999998</v>
      </c>
      <c r="P28" s="240">
        <v>2920.83</v>
      </c>
      <c r="Q28" s="240">
        <v>2868</v>
      </c>
      <c r="R28" s="240">
        <v>93.88</v>
      </c>
      <c r="S28" s="240">
        <v>63.85</v>
      </c>
      <c r="T28" s="241">
        <v>15</v>
      </c>
      <c r="U28" s="242">
        <f t="shared" si="6"/>
        <v>1.0703519797716987</v>
      </c>
      <c r="V28" s="243">
        <f>P28/Q28</f>
        <v>1.0184205020920503</v>
      </c>
      <c r="W28" s="671">
        <v>1</v>
      </c>
    </row>
    <row r="29" spans="1:26">
      <c r="B29" s="904"/>
      <c r="C29" s="727" t="s">
        <v>198</v>
      </c>
      <c r="D29" s="240">
        <v>35.36813558524512</v>
      </c>
      <c r="E29" s="240">
        <v>586.62250225407638</v>
      </c>
      <c r="F29" s="240"/>
      <c r="G29" s="240">
        <v>97.675708323579642</v>
      </c>
      <c r="H29" s="240">
        <v>89.00569196817122</v>
      </c>
      <c r="I29" s="249">
        <v>32</v>
      </c>
      <c r="J29" s="242">
        <f>E29/$E$26</f>
        <v>0.88868732351776447</v>
      </c>
      <c r="L29" s="244">
        <v>1</v>
      </c>
      <c r="M29" s="904"/>
      <c r="N29" s="669" t="s">
        <v>244</v>
      </c>
      <c r="O29" s="240">
        <v>35.760980623335634</v>
      </c>
      <c r="P29" s="240">
        <v>2879.5180844731735</v>
      </c>
      <c r="Q29" s="240">
        <v>2761</v>
      </c>
      <c r="R29" s="664">
        <v>93.224936909791651</v>
      </c>
      <c r="S29" s="240">
        <v>57.992813080397433</v>
      </c>
      <c r="T29" s="249">
        <v>14</v>
      </c>
      <c r="U29" s="242">
        <f t="shared" si="6"/>
        <v>1.0552130327695453</v>
      </c>
      <c r="V29" s="243">
        <f t="shared" ref="V29:V35" si="9">P29/Q29</f>
        <v>1.0429257821344344</v>
      </c>
      <c r="W29" s="671">
        <v>1</v>
      </c>
      <c r="X29" s="283"/>
    </row>
    <row r="30" spans="1:26">
      <c r="B30" s="904"/>
      <c r="C30" s="727" t="s">
        <v>200</v>
      </c>
      <c r="D30" s="240">
        <v>35.584070146670257</v>
      </c>
      <c r="E30" s="240">
        <v>562.65067889417594</v>
      </c>
      <c r="F30" s="240"/>
      <c r="G30" s="240">
        <v>97.01542965096732</v>
      </c>
      <c r="H30" s="240">
        <v>87.192926671728188</v>
      </c>
      <c r="I30" s="249">
        <v>32</v>
      </c>
      <c r="J30" s="242">
        <f t="shared" ref="J30:J32" si="10">E30/$E$26</f>
        <v>0.85237188137278586</v>
      </c>
      <c r="L30" s="244">
        <v>1</v>
      </c>
      <c r="M30" s="904"/>
      <c r="N30" s="727" t="s">
        <v>198</v>
      </c>
      <c r="O30" s="240">
        <v>35.56</v>
      </c>
      <c r="P30" s="240">
        <v>2728.85</v>
      </c>
      <c r="Q30" s="240">
        <v>2680</v>
      </c>
      <c r="R30" s="240">
        <v>93.83</v>
      </c>
      <c r="S30" s="240">
        <v>56.35</v>
      </c>
      <c r="T30" s="241">
        <v>143</v>
      </c>
      <c r="U30" s="242">
        <f t="shared" si="6"/>
        <v>1</v>
      </c>
      <c r="V30" s="243">
        <f t="shared" si="9"/>
        <v>1.0182276119402984</v>
      </c>
      <c r="W30" s="671">
        <v>1</v>
      </c>
      <c r="Z30" s="668"/>
    </row>
    <row r="31" spans="1:26">
      <c r="B31" s="249">
        <v>90</v>
      </c>
      <c r="C31" s="249" t="s">
        <v>672</v>
      </c>
      <c r="D31" s="247">
        <v>35.88994523888335</v>
      </c>
      <c r="E31" s="247">
        <v>707.16637938295969</v>
      </c>
      <c r="F31" s="249"/>
      <c r="G31" s="247">
        <v>93.632975084397287</v>
      </c>
      <c r="H31" s="247">
        <v>62.155336952239004</v>
      </c>
      <c r="I31" s="249">
        <v>30</v>
      </c>
      <c r="J31" s="242">
        <f t="shared" si="10"/>
        <v>1.0713018927177089</v>
      </c>
      <c r="K31" s="249"/>
      <c r="L31" s="244">
        <v>1</v>
      </c>
      <c r="M31" s="904"/>
      <c r="N31" s="727" t="s">
        <v>200</v>
      </c>
      <c r="O31" s="240">
        <v>35.466999999999999</v>
      </c>
      <c r="P31" s="240">
        <v>2560.88</v>
      </c>
      <c r="Q31" s="240">
        <v>2573</v>
      </c>
      <c r="R31" s="240">
        <v>94.19</v>
      </c>
      <c r="S31" s="240">
        <v>58.24</v>
      </c>
      <c r="T31" s="241">
        <v>15</v>
      </c>
      <c r="U31" s="242">
        <f t="shared" si="6"/>
        <v>0.93844659838393474</v>
      </c>
      <c r="V31" s="243">
        <f t="shared" si="9"/>
        <v>0.99528954527788582</v>
      </c>
      <c r="W31" s="671">
        <v>1</v>
      </c>
      <c r="Z31" s="668"/>
    </row>
    <row r="32" spans="1:26">
      <c r="B32" s="249">
        <v>97</v>
      </c>
      <c r="C32" s="249" t="s">
        <v>673</v>
      </c>
      <c r="D32" s="247">
        <v>35.559457284680676</v>
      </c>
      <c r="E32" s="247">
        <v>629.27697888856358</v>
      </c>
      <c r="F32" s="249"/>
      <c r="G32" s="247">
        <v>97.629009494008429</v>
      </c>
      <c r="H32" s="247">
        <v>85.236948253331832</v>
      </c>
      <c r="I32" s="249">
        <v>32</v>
      </c>
      <c r="J32" s="242">
        <f t="shared" si="10"/>
        <v>0.95330552778149302</v>
      </c>
      <c r="K32" s="249"/>
      <c r="L32" s="244">
        <v>1</v>
      </c>
      <c r="M32" s="904"/>
      <c r="N32" s="669" t="s">
        <v>245</v>
      </c>
      <c r="O32" s="240">
        <v>35.866167580179471</v>
      </c>
      <c r="P32" s="240">
        <v>2423.9996619465214</v>
      </c>
      <c r="Q32" s="240"/>
      <c r="R32" s="240">
        <v>93.312668540445486</v>
      </c>
      <c r="S32" s="295">
        <v>54.521926358068363</v>
      </c>
      <c r="T32" s="249">
        <v>8</v>
      </c>
      <c r="U32" s="242">
        <f t="shared" si="6"/>
        <v>0.88828615055665261</v>
      </c>
      <c r="V32" s="243" t="e">
        <f t="shared" si="9"/>
        <v>#DIV/0!</v>
      </c>
      <c r="X32" s="283">
        <v>0.99</v>
      </c>
    </row>
    <row r="33" spans="1:31">
      <c r="B33" s="249">
        <v>80</v>
      </c>
      <c r="C33" s="249" t="s">
        <v>609</v>
      </c>
      <c r="D33" s="247">
        <v>35.792687659581048</v>
      </c>
      <c r="E33" s="247">
        <f>809.150162231331*0.987479479892267</f>
        <v>799.01918135493827</v>
      </c>
      <c r="F33" s="249"/>
      <c r="G33" s="247">
        <v>83.84536444574006</v>
      </c>
      <c r="H33" s="247">
        <v>13.299772919972751</v>
      </c>
      <c r="I33" s="249">
        <v>31</v>
      </c>
      <c r="J33" s="242">
        <f t="shared" ref="J33" si="11">E33/$E$26</f>
        <v>1.2104517214890747</v>
      </c>
      <c r="K33" s="249"/>
      <c r="L33" s="244">
        <v>1</v>
      </c>
      <c r="M33" s="904">
        <v>97</v>
      </c>
      <c r="N33" s="250" t="s">
        <v>196</v>
      </c>
      <c r="O33" s="674">
        <v>35.667186154982758</v>
      </c>
      <c r="P33" s="674">
        <v>2696.9388526048219</v>
      </c>
      <c r="Q33" s="675"/>
      <c r="R33" s="674">
        <v>97.371326019658497</v>
      </c>
      <c r="S33" s="674">
        <v>87.456817118458574</v>
      </c>
      <c r="T33" s="676">
        <v>15</v>
      </c>
      <c r="U33" s="242">
        <f t="shared" si="6"/>
        <v>0.98830600897990806</v>
      </c>
      <c r="V33" s="243" t="e">
        <f t="shared" si="9"/>
        <v>#DIV/0!</v>
      </c>
      <c r="W33" s="671">
        <v>1</v>
      </c>
    </row>
    <row r="34" spans="1:31">
      <c r="M34" s="904"/>
      <c r="N34" s="727" t="s">
        <v>198</v>
      </c>
      <c r="O34" s="240">
        <v>35.891799223933056</v>
      </c>
      <c r="P34" s="240">
        <v>2446.0835573679328</v>
      </c>
      <c r="Q34" s="240"/>
      <c r="R34" s="240">
        <v>98.16515912702333</v>
      </c>
      <c r="S34" s="240">
        <v>89.320201868266707</v>
      </c>
      <c r="T34" s="249">
        <v>15</v>
      </c>
      <c r="U34" s="242">
        <f>P34/$P$30</f>
        <v>0.89637889857190134</v>
      </c>
      <c r="V34" s="243" t="e">
        <f t="shared" si="9"/>
        <v>#DIV/0!</v>
      </c>
      <c r="W34" s="671">
        <v>1</v>
      </c>
    </row>
    <row r="35" spans="1:31">
      <c r="M35" s="904"/>
      <c r="N35" s="727" t="s">
        <v>200</v>
      </c>
      <c r="O35" s="240">
        <v>35.876593715533247</v>
      </c>
      <c r="P35" s="240">
        <v>2319.5404407664237</v>
      </c>
      <c r="Q35" s="240"/>
      <c r="R35" s="240">
        <v>97.162921371870695</v>
      </c>
      <c r="S35" s="240">
        <v>88.249243397269879</v>
      </c>
      <c r="T35" s="249">
        <v>14</v>
      </c>
      <c r="U35" s="242">
        <f>P35/$P$30</f>
        <v>0.85000657447878181</v>
      </c>
      <c r="V35" s="243" t="e">
        <f t="shared" si="9"/>
        <v>#DIV/0!</v>
      </c>
      <c r="W35" s="671">
        <v>1</v>
      </c>
    </row>
    <row r="36" spans="1:31">
      <c r="M36" s="263">
        <v>97</v>
      </c>
      <c r="N36" s="263" t="s">
        <v>682</v>
      </c>
      <c r="O36" s="748">
        <v>35.651212821376205</v>
      </c>
      <c r="P36" s="748">
        <v>2545.3974926556421</v>
      </c>
      <c r="Q36" s="748"/>
      <c r="R36" s="748">
        <v>97.588929821138223</v>
      </c>
      <c r="S36" s="748">
        <v>85.077264916522893</v>
      </c>
      <c r="T36" s="249">
        <v>45</v>
      </c>
      <c r="U36" s="242">
        <f>P36/$P$30</f>
        <v>0.93277296027837442</v>
      </c>
      <c r="V36" s="243" t="e">
        <f t="shared" ref="V36" si="12">P36/Q36</f>
        <v>#DIV/0!</v>
      </c>
      <c r="W36" s="671">
        <v>1</v>
      </c>
    </row>
    <row r="37" spans="1:31" s="300" customFormat="1" ht="22.5">
      <c r="B37" s="758" t="s">
        <v>209</v>
      </c>
      <c r="M37" s="759"/>
      <c r="N37" s="759"/>
      <c r="O37" s="759"/>
      <c r="P37" s="760"/>
      <c r="Q37" s="759"/>
      <c r="R37" s="760"/>
      <c r="S37" s="759"/>
      <c r="X37" s="759"/>
      <c r="Y37" s="761"/>
      <c r="Z37" s="759"/>
    </row>
    <row r="39" spans="1:31">
      <c r="B39" s="211" t="s">
        <v>179</v>
      </c>
      <c r="D39" s="211">
        <f>300*1</f>
        <v>300</v>
      </c>
      <c r="F39" s="211">
        <v>0.98747947989226692</v>
      </c>
      <c r="O39" s="211" t="s">
        <v>180</v>
      </c>
      <c r="Q39" s="211">
        <f>300*2</f>
        <v>600</v>
      </c>
      <c r="S39" s="288">
        <v>0.98747947989226692</v>
      </c>
    </row>
    <row r="40" spans="1:31">
      <c r="A40" s="249" t="s">
        <v>284</v>
      </c>
      <c r="B40" s="727" t="s">
        <v>181</v>
      </c>
      <c r="C40" s="727" t="s">
        <v>182</v>
      </c>
      <c r="D40" s="727" t="s">
        <v>214</v>
      </c>
      <c r="E40" s="727" t="s">
        <v>183</v>
      </c>
      <c r="F40" s="727" t="s">
        <v>184</v>
      </c>
      <c r="G40" s="727" t="s">
        <v>217</v>
      </c>
      <c r="H40" s="727" t="s">
        <v>185</v>
      </c>
      <c r="I40" s="727" t="s">
        <v>181</v>
      </c>
      <c r="J40" s="727" t="s">
        <v>186</v>
      </c>
      <c r="K40" s="237"/>
      <c r="L40" s="238" t="s">
        <v>188</v>
      </c>
      <c r="M40" s="238" t="s">
        <v>189</v>
      </c>
      <c r="N40" s="249" t="s">
        <v>284</v>
      </c>
      <c r="O40" s="727" t="s">
        <v>181</v>
      </c>
      <c r="P40" s="734" t="s">
        <v>182</v>
      </c>
      <c r="Q40" s="727" t="s">
        <v>214</v>
      </c>
      <c r="R40" s="727" t="s">
        <v>183</v>
      </c>
      <c r="S40" s="727" t="s">
        <v>184</v>
      </c>
      <c r="T40" s="727" t="s">
        <v>217</v>
      </c>
      <c r="U40" s="727" t="s">
        <v>185</v>
      </c>
      <c r="V40" s="727" t="s">
        <v>181</v>
      </c>
      <c r="W40" s="727" t="s">
        <v>186</v>
      </c>
      <c r="X40" s="237"/>
      <c r="Y40" s="238"/>
      <c r="Z40" s="238" t="s">
        <v>189</v>
      </c>
      <c r="AB40" s="727" t="s">
        <v>181</v>
      </c>
      <c r="AC40" s="727" t="s">
        <v>182</v>
      </c>
      <c r="AD40" s="250" t="s">
        <v>188</v>
      </c>
    </row>
    <row r="41" spans="1:31">
      <c r="A41" s="297">
        <f>D41*E41/1000</f>
        <v>3.7240000000000002</v>
      </c>
      <c r="B41" s="904">
        <v>80</v>
      </c>
      <c r="C41" s="727" t="s">
        <v>196</v>
      </c>
      <c r="D41" s="727">
        <v>175</v>
      </c>
      <c r="E41" s="240">
        <f>$D$9</f>
        <v>21.28</v>
      </c>
      <c r="F41" s="268">
        <f>ROUNDDOWN(K41,0)</f>
        <v>477</v>
      </c>
      <c r="G41" s="251">
        <f>F41/(D41*E41/1000)</f>
        <v>128.08807733619764</v>
      </c>
      <c r="H41" s="240"/>
      <c r="I41" s="240">
        <v>84.476422966096393</v>
      </c>
      <c r="J41" s="240">
        <v>13.385230494575859</v>
      </c>
      <c r="K41" s="286">
        <f t="shared" ref="K41:K49" si="13">E5*L5</f>
        <v>477.87339226696986</v>
      </c>
      <c r="L41" s="242"/>
      <c r="M41" s="242"/>
      <c r="N41" s="297">
        <f>Q41*R41/1000</f>
        <v>12.46</v>
      </c>
      <c r="O41" s="904">
        <v>80</v>
      </c>
      <c r="P41" s="734" t="s">
        <v>196</v>
      </c>
      <c r="Q41" s="727">
        <v>350</v>
      </c>
      <c r="R41" s="240">
        <v>35.6</v>
      </c>
      <c r="S41" s="268">
        <f>ROUNDDOWN(X41,0)</f>
        <v>1658</v>
      </c>
      <c r="T41" s="251">
        <f>S41/(Q41*R41/1000)</f>
        <v>133.06581059390047</v>
      </c>
      <c r="U41" s="251">
        <v>1638</v>
      </c>
      <c r="V41" s="240">
        <f t="shared" ref="V41:V51" si="14">R5</f>
        <v>84.48</v>
      </c>
      <c r="W41" s="240">
        <f t="shared" ref="W41:W51" si="15">S5</f>
        <v>14.31</v>
      </c>
      <c r="X41" s="241">
        <f t="shared" ref="X41:X52" si="16">P5*W5</f>
        <v>1658.87</v>
      </c>
      <c r="Y41" s="242">
        <f t="shared" ref="Y41:Y51" si="17">X41/$X$47</f>
        <v>1.2355929299775803</v>
      </c>
      <c r="Z41" s="243">
        <f t="shared" ref="Z41" si="18">S41/U41</f>
        <v>1.0122100122100122</v>
      </c>
      <c r="AB41" s="904">
        <v>80</v>
      </c>
      <c r="AC41" s="727" t="s">
        <v>196</v>
      </c>
      <c r="AD41" s="252">
        <f>AVERAGE(Y41,L58,Y59)</f>
        <v>1.2359925135010454</v>
      </c>
    </row>
    <row r="42" spans="1:31">
      <c r="A42" s="297">
        <f t="shared" ref="A42:A50" si="19">D42*E42/1000</f>
        <v>3.7240000000000002</v>
      </c>
      <c r="B42" s="904"/>
      <c r="C42" s="727" t="s">
        <v>198</v>
      </c>
      <c r="D42" s="727">
        <v>175</v>
      </c>
      <c r="E42" s="240">
        <f t="shared" ref="E42:E49" si="20">$D$9</f>
        <v>21.28</v>
      </c>
      <c r="F42" s="268">
        <f t="shared" ref="F42:F50" si="21">ROUNDDOWN(K42,0)</f>
        <v>451</v>
      </c>
      <c r="G42" s="251">
        <f t="shared" ref="G42:G50" si="22">F42/(D42*E42/1000)</f>
        <v>121.1063372717508</v>
      </c>
      <c r="H42" s="240"/>
      <c r="I42" s="240">
        <v>83.204503509081491</v>
      </c>
      <c r="J42" s="240">
        <v>8.0519831021613868</v>
      </c>
      <c r="K42" s="286">
        <f t="shared" si="13"/>
        <v>451.47304774558069</v>
      </c>
      <c r="L42" s="242"/>
      <c r="M42" s="242"/>
      <c r="N42" s="297">
        <f>Q42*R42/1000</f>
        <v>12.46</v>
      </c>
      <c r="O42" s="904"/>
      <c r="P42" s="285" t="s">
        <v>244</v>
      </c>
      <c r="Q42" s="727">
        <v>350</v>
      </c>
      <c r="R42" s="240">
        <v>35.6</v>
      </c>
      <c r="S42" s="289">
        <f>ROUNDDOWN(X42,0)</f>
        <v>1627</v>
      </c>
      <c r="T42" s="251">
        <f>S42/(Q42*R42/1000)</f>
        <v>130.57784911717496</v>
      </c>
      <c r="U42" s="264"/>
      <c r="V42" s="240">
        <f t="shared" si="14"/>
        <v>84.177757592166969</v>
      </c>
      <c r="W42" s="240">
        <f t="shared" si="15"/>
        <v>14.200795182763823</v>
      </c>
      <c r="X42" s="241">
        <f t="shared" si="16"/>
        <v>1627.2083351489655</v>
      </c>
      <c r="Y42" s="242">
        <f t="shared" si="17"/>
        <v>1.2120100517283758</v>
      </c>
      <c r="Z42" s="243" t="e">
        <f t="shared" ref="Z42" si="23">S42/U42</f>
        <v>#DIV/0!</v>
      </c>
      <c r="AB42" s="904"/>
      <c r="AC42" s="727" t="s">
        <v>198</v>
      </c>
      <c r="AD42" s="252">
        <f>AVERAGE(Y43,L59,Y61)</f>
        <v>1.1755150853835896</v>
      </c>
    </row>
    <row r="43" spans="1:31">
      <c r="A43" s="297">
        <f t="shared" si="19"/>
        <v>3.7240000000000002</v>
      </c>
      <c r="B43" s="904"/>
      <c r="C43" s="727" t="s">
        <v>200</v>
      </c>
      <c r="D43" s="727">
        <v>175</v>
      </c>
      <c r="E43" s="240">
        <f t="shared" si="20"/>
        <v>21.28</v>
      </c>
      <c r="F43" s="268">
        <f t="shared" si="21"/>
        <v>431</v>
      </c>
      <c r="G43" s="251">
        <f t="shared" si="22"/>
        <v>115.73576799140709</v>
      </c>
      <c r="H43" s="240"/>
      <c r="I43" s="240">
        <v>81.843295378226685</v>
      </c>
      <c r="J43" s="240">
        <v>3.3639841277043443</v>
      </c>
      <c r="K43" s="286">
        <f t="shared" si="13"/>
        <v>431.11819685754602</v>
      </c>
      <c r="L43" s="242"/>
      <c r="M43" s="242"/>
      <c r="N43" s="297">
        <f t="shared" ref="N43:N46" si="24">Q43*R43/1000</f>
        <v>12.46</v>
      </c>
      <c r="O43" s="904"/>
      <c r="P43" s="734" t="s">
        <v>198</v>
      </c>
      <c r="Q43" s="727">
        <v>350</v>
      </c>
      <c r="R43" s="240">
        <v>35.6</v>
      </c>
      <c r="S43" s="268">
        <f t="shared" ref="S43:S46" si="25">ROUNDDOWN(X43,0)</f>
        <v>1576</v>
      </c>
      <c r="T43" s="251">
        <f t="shared" ref="T43:T46" si="26">S43/(Q43*R43/1000)</f>
        <v>126.48475120385231</v>
      </c>
      <c r="U43" s="251">
        <v>1572</v>
      </c>
      <c r="V43" s="240">
        <f t="shared" si="14"/>
        <v>82.71</v>
      </c>
      <c r="W43" s="240">
        <f t="shared" si="15"/>
        <v>5.81</v>
      </c>
      <c r="X43" s="241">
        <f t="shared" si="16"/>
        <v>1576.5552</v>
      </c>
      <c r="Y43" s="242">
        <f t="shared" si="17"/>
        <v>1.1742815644621882</v>
      </c>
      <c r="Z43" s="243">
        <f t="shared" ref="Z43:Z48" si="27">S43/U43</f>
        <v>1.0025445292620865</v>
      </c>
      <c r="AB43" s="904"/>
      <c r="AC43" s="727" t="s">
        <v>200</v>
      </c>
      <c r="AD43" s="252">
        <f>AVERAGE(Y44,L60,Y62)</f>
        <v>1.1275874482525676</v>
      </c>
    </row>
    <row r="44" spans="1:31">
      <c r="A44" s="297">
        <f t="shared" si="19"/>
        <v>3.7240000000000002</v>
      </c>
      <c r="B44" s="904">
        <v>90</v>
      </c>
      <c r="C44" s="727" t="s">
        <v>196</v>
      </c>
      <c r="D44" s="727">
        <v>175</v>
      </c>
      <c r="E44" s="240">
        <f t="shared" si="20"/>
        <v>21.28</v>
      </c>
      <c r="F44" s="268">
        <f t="shared" si="21"/>
        <v>416</v>
      </c>
      <c r="G44" s="251">
        <f t="shared" si="22"/>
        <v>111.7078410311493</v>
      </c>
      <c r="H44" s="240"/>
      <c r="I44" s="240">
        <v>94.145130864703887</v>
      </c>
      <c r="J44" s="240">
        <v>63.468100903174289</v>
      </c>
      <c r="K44" s="286">
        <f t="shared" si="13"/>
        <v>416.73304362781477</v>
      </c>
      <c r="L44" s="242"/>
      <c r="M44" s="242"/>
      <c r="N44" s="297">
        <f t="shared" si="24"/>
        <v>12.46</v>
      </c>
      <c r="O44" s="904"/>
      <c r="P44" s="734" t="s">
        <v>200</v>
      </c>
      <c r="Q44" s="727">
        <v>350</v>
      </c>
      <c r="R44" s="240">
        <v>35.6</v>
      </c>
      <c r="S44" s="268">
        <f t="shared" si="25"/>
        <v>1502</v>
      </c>
      <c r="T44" s="251">
        <f t="shared" si="26"/>
        <v>120.54574638844301</v>
      </c>
      <c r="U44" s="251">
        <v>1480</v>
      </c>
      <c r="V44" s="240">
        <f t="shared" si="14"/>
        <v>81.44</v>
      </c>
      <c r="W44" s="240">
        <f t="shared" si="15"/>
        <v>1.83</v>
      </c>
      <c r="X44" s="241">
        <f t="shared" si="16"/>
        <v>1502.9672</v>
      </c>
      <c r="Y44" s="242">
        <f t="shared" si="17"/>
        <v>1.1194702697066075</v>
      </c>
      <c r="Z44" s="243">
        <f t="shared" si="27"/>
        <v>1.0148648648648648</v>
      </c>
      <c r="AB44" s="904">
        <v>90</v>
      </c>
      <c r="AC44" s="727" t="s">
        <v>196</v>
      </c>
      <c r="AD44" s="252">
        <f>AVERAGE(Y45,L61,Y64)</f>
        <v>1.0722009025484318</v>
      </c>
    </row>
    <row r="45" spans="1:31">
      <c r="A45" s="297">
        <f t="shared" si="19"/>
        <v>3.7240000000000002</v>
      </c>
      <c r="B45" s="904"/>
      <c r="C45" s="727" t="s">
        <v>198</v>
      </c>
      <c r="D45" s="727">
        <v>175</v>
      </c>
      <c r="E45" s="240">
        <v>21.28</v>
      </c>
      <c r="F45" s="268">
        <f t="shared" si="21"/>
        <v>389</v>
      </c>
      <c r="G45" s="251">
        <f t="shared" si="22"/>
        <v>104.45757250268528</v>
      </c>
      <c r="H45" s="240"/>
      <c r="I45" s="240">
        <v>94.45</v>
      </c>
      <c r="J45" s="240">
        <v>58.7</v>
      </c>
      <c r="K45" s="286">
        <f t="shared" si="13"/>
        <v>389.2</v>
      </c>
      <c r="L45" s="242"/>
      <c r="M45" s="242"/>
      <c r="N45" s="297">
        <f t="shared" si="24"/>
        <v>12.46</v>
      </c>
      <c r="O45" s="904">
        <v>90</v>
      </c>
      <c r="P45" s="734" t="s">
        <v>196</v>
      </c>
      <c r="Q45" s="727">
        <v>350</v>
      </c>
      <c r="R45" s="240">
        <v>35.6</v>
      </c>
      <c r="S45" s="268">
        <f t="shared" si="25"/>
        <v>1424</v>
      </c>
      <c r="T45" s="251">
        <f t="shared" si="26"/>
        <v>114.28571428571428</v>
      </c>
      <c r="U45" s="251">
        <v>1402</v>
      </c>
      <c r="V45" s="240">
        <f t="shared" si="14"/>
        <v>93.91</v>
      </c>
      <c r="W45" s="240">
        <f t="shared" si="15"/>
        <v>63.33</v>
      </c>
      <c r="X45" s="241">
        <f t="shared" si="16"/>
        <v>1424.78</v>
      </c>
      <c r="Y45" s="242">
        <f t="shared" si="17"/>
        <v>1.061233306270809</v>
      </c>
      <c r="Z45" s="243">
        <f t="shared" si="27"/>
        <v>1.0156918687589158</v>
      </c>
      <c r="AB45" s="904"/>
      <c r="AC45" s="727" t="s">
        <v>198</v>
      </c>
      <c r="AD45" s="252">
        <f>AVERAGE(Y47,L62,Y66)</f>
        <v>1</v>
      </c>
    </row>
    <row r="46" spans="1:31">
      <c r="A46" s="297">
        <f t="shared" si="19"/>
        <v>3.7240000000000002</v>
      </c>
      <c r="B46" s="904"/>
      <c r="C46" s="727" t="s">
        <v>200</v>
      </c>
      <c r="D46" s="727">
        <v>175</v>
      </c>
      <c r="E46" s="240">
        <f t="shared" si="20"/>
        <v>21.28</v>
      </c>
      <c r="F46" s="268">
        <f t="shared" si="21"/>
        <v>368</v>
      </c>
      <c r="G46" s="251">
        <f t="shared" si="22"/>
        <v>98.818474758324371</v>
      </c>
      <c r="H46" s="240"/>
      <c r="I46" s="240">
        <v>93.756343591588163</v>
      </c>
      <c r="J46" s="240">
        <v>57.227037790973888</v>
      </c>
      <c r="K46" s="286">
        <f t="shared" si="13"/>
        <v>368.62767112098339</v>
      </c>
      <c r="L46" s="242"/>
      <c r="M46" s="242"/>
      <c r="N46" s="297">
        <f t="shared" si="24"/>
        <v>12.46</v>
      </c>
      <c r="O46" s="904"/>
      <c r="P46" s="285" t="s">
        <v>244</v>
      </c>
      <c r="Q46" s="727">
        <v>350</v>
      </c>
      <c r="R46" s="240">
        <v>35.6</v>
      </c>
      <c r="S46" s="289">
        <f t="shared" si="25"/>
        <v>1420</v>
      </c>
      <c r="T46" s="251">
        <f t="shared" si="26"/>
        <v>113.96468699839485</v>
      </c>
      <c r="U46" s="264"/>
      <c r="V46" s="240">
        <f t="shared" si="14"/>
        <v>93.575656900240119</v>
      </c>
      <c r="W46" s="240">
        <f t="shared" si="15"/>
        <v>60.856751788231925</v>
      </c>
      <c r="X46" s="241">
        <f t="shared" si="16"/>
        <v>1420.6780846980241</v>
      </c>
      <c r="Y46" s="242">
        <f t="shared" si="17"/>
        <v>1.0581780351847756</v>
      </c>
      <c r="Z46" s="243" t="e">
        <f t="shared" si="27"/>
        <v>#DIV/0!</v>
      </c>
      <c r="AB46" s="904"/>
      <c r="AC46" s="727" t="s">
        <v>200</v>
      </c>
      <c r="AD46" s="252">
        <f>AVERAGE(Y48,L63,Y67)</f>
        <v>0.93836121441862907</v>
      </c>
    </row>
    <row r="47" spans="1:31">
      <c r="A47" s="297">
        <f t="shared" si="19"/>
        <v>3.7240000000000002</v>
      </c>
      <c r="B47" s="904">
        <v>97</v>
      </c>
      <c r="C47" s="727" t="s">
        <v>196</v>
      </c>
      <c r="D47" s="727">
        <v>175</v>
      </c>
      <c r="E47" s="240">
        <f t="shared" si="20"/>
        <v>21.28</v>
      </c>
      <c r="F47" s="268">
        <f t="shared" si="21"/>
        <v>378</v>
      </c>
      <c r="G47" s="251">
        <f t="shared" si="22"/>
        <v>101.50375939849623</v>
      </c>
      <c r="H47" s="264"/>
      <c r="I47" s="240">
        <v>97.402499893981755</v>
      </c>
      <c r="J47" s="240">
        <v>88.665831994943332</v>
      </c>
      <c r="K47" s="286">
        <f t="shared" si="13"/>
        <v>378.27807950172325</v>
      </c>
      <c r="N47" s="297">
        <f t="shared" ref="N47:N54" si="28">Q47*R47/1000</f>
        <v>12.46</v>
      </c>
      <c r="O47" s="904"/>
      <c r="P47" s="734" t="s">
        <v>198</v>
      </c>
      <c r="Q47" s="727">
        <v>350</v>
      </c>
      <c r="R47" s="240">
        <v>35.6</v>
      </c>
      <c r="S47" s="268">
        <f>ROUNDDOWN(X47,0)</f>
        <v>1342</v>
      </c>
      <c r="T47" s="251">
        <f t="shared" ref="T47:T54" si="29">S47/(Q47*R47/1000)</f>
        <v>107.70465489566612</v>
      </c>
      <c r="U47" s="251">
        <v>1310</v>
      </c>
      <c r="V47" s="240">
        <f t="shared" si="14"/>
        <v>94.15</v>
      </c>
      <c r="W47" s="240">
        <f t="shared" si="15"/>
        <v>58.43</v>
      </c>
      <c r="X47" s="241">
        <f t="shared" si="16"/>
        <v>1342.57</v>
      </c>
      <c r="Y47" s="242">
        <f t="shared" si="17"/>
        <v>1</v>
      </c>
      <c r="Z47" s="243">
        <f t="shared" si="27"/>
        <v>1.0244274809160305</v>
      </c>
      <c r="AB47" s="904">
        <v>97</v>
      </c>
      <c r="AC47" s="727" t="s">
        <v>196</v>
      </c>
      <c r="AD47" s="265">
        <f>AD48*AE47</f>
        <v>0.98430328741029549</v>
      </c>
      <c r="AE47" s="211">
        <v>1.1062421982651649</v>
      </c>
    </row>
    <row r="48" spans="1:31">
      <c r="A48" s="297">
        <f t="shared" si="19"/>
        <v>3.7240000000000002</v>
      </c>
      <c r="B48" s="904"/>
      <c r="C48" s="727" t="s">
        <v>198</v>
      </c>
      <c r="D48" s="727">
        <v>175</v>
      </c>
      <c r="E48" s="240">
        <f t="shared" si="20"/>
        <v>21.28</v>
      </c>
      <c r="F48" s="268">
        <f t="shared" si="21"/>
        <v>343</v>
      </c>
      <c r="G48" s="251">
        <f t="shared" si="22"/>
        <v>92.105263157894726</v>
      </c>
      <c r="H48" s="264"/>
      <c r="I48" s="240">
        <v>97.485603598564921</v>
      </c>
      <c r="J48" s="240">
        <v>90.411251171358543</v>
      </c>
      <c r="K48" s="286">
        <f t="shared" si="13"/>
        <v>343.738168752192</v>
      </c>
      <c r="N48" s="297">
        <f t="shared" si="28"/>
        <v>12.46</v>
      </c>
      <c r="O48" s="904"/>
      <c r="P48" s="734" t="s">
        <v>200</v>
      </c>
      <c r="Q48" s="727">
        <v>350</v>
      </c>
      <c r="R48" s="240">
        <v>35.6</v>
      </c>
      <c r="S48" s="268">
        <f>ROUNDDOWN(X48,0)</f>
        <v>1246</v>
      </c>
      <c r="T48" s="251">
        <f t="shared" si="29"/>
        <v>100</v>
      </c>
      <c r="U48" s="251">
        <v>1258</v>
      </c>
      <c r="V48" s="240">
        <f t="shared" si="14"/>
        <v>93.88</v>
      </c>
      <c r="W48" s="240">
        <f t="shared" si="15"/>
        <v>57.55</v>
      </c>
      <c r="X48" s="241">
        <f t="shared" si="16"/>
        <v>1246.77</v>
      </c>
      <c r="Y48" s="242">
        <f t="shared" si="17"/>
        <v>0.92864431649746382</v>
      </c>
      <c r="Z48" s="243">
        <f t="shared" si="27"/>
        <v>0.99046104928457868</v>
      </c>
      <c r="AB48" s="904"/>
      <c r="AC48" s="727" t="s">
        <v>198</v>
      </c>
      <c r="AD48" s="252">
        <f>AVERAGE(Y50,L65,Y70)</f>
        <v>0.88977195857643387</v>
      </c>
    </row>
    <row r="49" spans="1:35">
      <c r="A49" s="297">
        <f t="shared" si="19"/>
        <v>3.7240000000000002</v>
      </c>
      <c r="B49" s="904"/>
      <c r="C49" s="727" t="s">
        <v>200</v>
      </c>
      <c r="D49" s="727">
        <v>175</v>
      </c>
      <c r="E49" s="240">
        <f t="shared" si="20"/>
        <v>21.28</v>
      </c>
      <c r="F49" s="268">
        <f t="shared" si="21"/>
        <v>326</v>
      </c>
      <c r="G49" s="251">
        <f t="shared" si="22"/>
        <v>87.540279269602578</v>
      </c>
      <c r="H49" s="264"/>
      <c r="I49" s="240">
        <v>96.343175696142993</v>
      </c>
      <c r="J49" s="240">
        <v>89.221735618150291</v>
      </c>
      <c r="K49" s="286">
        <f t="shared" si="13"/>
        <v>326.91843773828589</v>
      </c>
      <c r="N49" s="297">
        <f t="shared" si="28"/>
        <v>12.46</v>
      </c>
      <c r="O49" s="905">
        <v>97</v>
      </c>
      <c r="P49" s="727" t="s">
        <v>196</v>
      </c>
      <c r="Q49" s="727">
        <v>350</v>
      </c>
      <c r="R49" s="240">
        <v>35.6</v>
      </c>
      <c r="S49" s="268">
        <f>ROUNDDOWN(X49,0)</f>
        <v>1363</v>
      </c>
      <c r="T49" s="695">
        <f t="shared" si="29"/>
        <v>109.39004815409309</v>
      </c>
      <c r="U49" s="695"/>
      <c r="V49" s="240">
        <f t="shared" si="14"/>
        <v>96.636404524984869</v>
      </c>
      <c r="W49" s="240">
        <f t="shared" si="15"/>
        <v>84.244501957246683</v>
      </c>
      <c r="X49" s="286">
        <f t="shared" si="16"/>
        <v>1363.87757777464</v>
      </c>
      <c r="Y49" s="242">
        <f t="shared" si="17"/>
        <v>1.0158707387880259</v>
      </c>
      <c r="AB49" s="904"/>
      <c r="AC49" s="727" t="s">
        <v>200</v>
      </c>
      <c r="AD49" s="252">
        <f>AVERAGE(Y51,L66,Y71)</f>
        <v>0.8481359804968166</v>
      </c>
    </row>
    <row r="50" spans="1:35">
      <c r="A50" s="297">
        <f t="shared" si="19"/>
        <v>3.7275</v>
      </c>
      <c r="B50" s="249">
        <v>80</v>
      </c>
      <c r="C50" s="249" t="s">
        <v>684</v>
      </c>
      <c r="D50" s="249">
        <v>175</v>
      </c>
      <c r="E50" s="249">
        <v>21.3</v>
      </c>
      <c r="F50" s="743">
        <f t="shared" si="21"/>
        <v>470</v>
      </c>
      <c r="G50" s="246">
        <f t="shared" si="22"/>
        <v>126.0898725687458</v>
      </c>
      <c r="H50" s="249"/>
      <c r="I50" s="247">
        <v>84.400646857723927</v>
      </c>
      <c r="J50" s="247">
        <v>13.562268849106545</v>
      </c>
      <c r="K50" s="286">
        <f>E14*L14*$F$39</f>
        <v>470.86579624390777</v>
      </c>
      <c r="N50" s="297">
        <f t="shared" si="28"/>
        <v>12.46</v>
      </c>
      <c r="O50" s="906"/>
      <c r="P50" s="727" t="s">
        <v>198</v>
      </c>
      <c r="Q50" s="727">
        <v>350</v>
      </c>
      <c r="R50" s="240">
        <v>35.6</v>
      </c>
      <c r="S50" s="268">
        <f t="shared" ref="S50:S51" si="30">ROUNDDOWN(X50,0)</f>
        <v>1187</v>
      </c>
      <c r="T50" s="251">
        <f t="shared" si="29"/>
        <v>95.264847512038514</v>
      </c>
      <c r="U50" s="251"/>
      <c r="V50" s="240">
        <f t="shared" si="14"/>
        <v>97.412860609534931</v>
      </c>
      <c r="W50" s="240">
        <f t="shared" si="15"/>
        <v>89.501509701449493</v>
      </c>
      <c r="X50" s="241">
        <f t="shared" si="16"/>
        <v>1187.1670574869656</v>
      </c>
      <c r="Y50" s="242">
        <f t="shared" si="17"/>
        <v>0.8842496536396357</v>
      </c>
      <c r="AB50" s="263"/>
      <c r="AC50" s="263"/>
      <c r="AD50" s="242"/>
    </row>
    <row r="51" spans="1:35">
      <c r="A51" s="297">
        <f t="shared" ref="A51" si="31">D51*E51/1000</f>
        <v>3.7275</v>
      </c>
      <c r="B51" s="249">
        <v>90</v>
      </c>
      <c r="C51" s="249" t="s">
        <v>671</v>
      </c>
      <c r="D51" s="249">
        <v>175</v>
      </c>
      <c r="E51" s="249">
        <v>21.3</v>
      </c>
      <c r="F51" s="743">
        <f t="shared" ref="F51" si="32">ROUNDDOWN(K51,0)</f>
        <v>407</v>
      </c>
      <c r="G51" s="246">
        <f t="shared" ref="G51" si="33">F51/(D51*E51/1000)</f>
        <v>109.18846411804158</v>
      </c>
      <c r="H51" s="249"/>
      <c r="I51" s="247">
        <v>93.695022426322623</v>
      </c>
      <c r="J51" s="247">
        <v>60.519168801650402</v>
      </c>
      <c r="K51" s="286">
        <f>E15*L15*$F$39</f>
        <v>407.57323136260459</v>
      </c>
      <c r="N51" s="297">
        <f t="shared" si="28"/>
        <v>12.46</v>
      </c>
      <c r="O51" s="907"/>
      <c r="P51" s="727" t="s">
        <v>200</v>
      </c>
      <c r="Q51" s="727">
        <v>350</v>
      </c>
      <c r="R51" s="240">
        <v>35.6</v>
      </c>
      <c r="S51" s="268">
        <f t="shared" si="30"/>
        <v>1130</v>
      </c>
      <c r="T51" s="251">
        <f t="shared" si="29"/>
        <v>90.690208667736755</v>
      </c>
      <c r="U51" s="251"/>
      <c r="V51" s="240">
        <f t="shared" si="14"/>
        <v>96.517215821554757</v>
      </c>
      <c r="W51" s="240">
        <f t="shared" si="15"/>
        <v>87.487573837820264</v>
      </c>
      <c r="X51" s="241">
        <f t="shared" si="16"/>
        <v>1130.4835265341935</v>
      </c>
      <c r="Y51" s="242">
        <f t="shared" si="17"/>
        <v>0.8420294856388818</v>
      </c>
      <c r="AB51" s="263"/>
      <c r="AC51" s="263"/>
      <c r="AD51" s="242"/>
    </row>
    <row r="52" spans="1:35">
      <c r="A52" s="297">
        <f t="shared" ref="A52" si="34">D52*E52/1000</f>
        <v>3.7275</v>
      </c>
      <c r="B52" s="249">
        <v>97</v>
      </c>
      <c r="C52" s="249" t="s">
        <v>671</v>
      </c>
      <c r="D52" s="249">
        <v>175</v>
      </c>
      <c r="E52" s="249">
        <v>21.3</v>
      </c>
      <c r="F52" s="743">
        <f t="shared" ref="F52" si="35">ROUNDDOWN(K52,0)</f>
        <v>372</v>
      </c>
      <c r="G52" s="246">
        <f t="shared" ref="G52" si="36">F52/(D52*E52/1000)</f>
        <v>99.798792756539228</v>
      </c>
      <c r="H52" s="249"/>
      <c r="I52" s="247">
        <v>98.545374866882867</v>
      </c>
      <c r="J52" s="247">
        <v>87.943732956667588</v>
      </c>
      <c r="K52" s="286">
        <f>E16*L16*$F$39</f>
        <v>372.49893141038535</v>
      </c>
      <c r="N52" s="297">
        <f t="shared" si="28"/>
        <v>12.46</v>
      </c>
      <c r="O52" s="249">
        <v>97</v>
      </c>
      <c r="P52" s="249" t="s">
        <v>673</v>
      </c>
      <c r="Q52" s="249">
        <v>350</v>
      </c>
      <c r="R52" s="247">
        <v>35.6</v>
      </c>
      <c r="S52" s="743">
        <f t="shared" ref="S52:S54" si="37">ROUNDDOWN(X52,0)</f>
        <v>1274</v>
      </c>
      <c r="T52" s="246">
        <f t="shared" si="29"/>
        <v>102.24719101123594</v>
      </c>
      <c r="U52" s="249"/>
      <c r="V52" s="247">
        <f t="shared" ref="V52" si="38">R16</f>
        <v>98.390244698950525</v>
      </c>
      <c r="W52" s="247">
        <f t="shared" ref="W52" si="39">S16</f>
        <v>87.050563254354941</v>
      </c>
      <c r="X52" s="241">
        <f t="shared" si="16"/>
        <v>1274.2023300504775</v>
      </c>
      <c r="Y52" s="242">
        <f t="shared" ref="Y52" si="40">X52/$X$47</f>
        <v>0.94907701650601273</v>
      </c>
      <c r="AB52" s="263"/>
      <c r="AC52" s="263"/>
      <c r="AD52" s="242"/>
    </row>
    <row r="53" spans="1:35">
      <c r="N53" s="297">
        <f t="shared" si="28"/>
        <v>12.46</v>
      </c>
      <c r="O53" s="249">
        <v>90</v>
      </c>
      <c r="P53" s="249" t="s">
        <v>675</v>
      </c>
      <c r="Q53" s="249">
        <v>350</v>
      </c>
      <c r="R53" s="247">
        <v>35.6</v>
      </c>
      <c r="S53" s="743">
        <f t="shared" si="37"/>
        <v>1458</v>
      </c>
      <c r="T53" s="246">
        <f t="shared" si="29"/>
        <v>117.01444622792937</v>
      </c>
      <c r="U53" s="249"/>
      <c r="V53" s="247">
        <f t="shared" ref="V53:V54" si="41">R17</f>
        <v>92.430325724671377</v>
      </c>
      <c r="W53" s="247">
        <f t="shared" ref="W53:W54" si="42">S17</f>
        <v>58.250645819182296</v>
      </c>
      <c r="X53" s="266">
        <f>P17*W17*$S$39</f>
        <v>1458.9056893946995</v>
      </c>
      <c r="Y53" s="242">
        <f t="shared" ref="Y53:Y54" si="43">X53/$X$47</f>
        <v>1.0866514888569681</v>
      </c>
      <c r="AB53" s="263"/>
      <c r="AC53" s="263"/>
      <c r="AD53" s="242"/>
    </row>
    <row r="54" spans="1:35">
      <c r="N54" s="297">
        <f t="shared" si="28"/>
        <v>12.46</v>
      </c>
      <c r="O54" s="249">
        <v>90</v>
      </c>
      <c r="P54" s="249" t="s">
        <v>677</v>
      </c>
      <c r="Q54" s="249">
        <v>350</v>
      </c>
      <c r="R54" s="247">
        <v>35.6</v>
      </c>
      <c r="S54" s="743">
        <f t="shared" si="37"/>
        <v>1163</v>
      </c>
      <c r="T54" s="246">
        <f t="shared" si="29"/>
        <v>93.338683788121983</v>
      </c>
      <c r="U54" s="249"/>
      <c r="V54" s="247">
        <f t="shared" si="41"/>
        <v>92.793295292521478</v>
      </c>
      <c r="W54" s="247">
        <f t="shared" si="42"/>
        <v>54.810456542469275</v>
      </c>
      <c r="X54" s="266">
        <f>P18*X18*$S$39</f>
        <v>1163.2014134423891</v>
      </c>
      <c r="Y54" s="242">
        <f t="shared" si="43"/>
        <v>0.8663990804519609</v>
      </c>
      <c r="AB54" s="263"/>
      <c r="AC54" s="263"/>
      <c r="AD54" s="242"/>
    </row>
    <row r="55" spans="1:35">
      <c r="R55" s="247"/>
      <c r="X55" s="246"/>
      <c r="Y55" s="239"/>
      <c r="AB55" s="263"/>
      <c r="AC55" s="263"/>
      <c r="AD55" s="242"/>
      <c r="AI55" s="211">
        <v>700</v>
      </c>
    </row>
    <row r="56" spans="1:35">
      <c r="B56" s="211" t="s">
        <v>202</v>
      </c>
      <c r="D56" s="211">
        <f>300*1</f>
        <v>300</v>
      </c>
      <c r="O56" s="290" t="s">
        <v>246</v>
      </c>
      <c r="Q56" s="211">
        <f>300*4</f>
        <v>1200</v>
      </c>
      <c r="S56" s="211">
        <v>0.98822024371613904</v>
      </c>
      <c r="X56" s="246"/>
      <c r="Y56" s="239"/>
      <c r="AI56" s="211">
        <v>37.6</v>
      </c>
    </row>
    <row r="57" spans="1:35">
      <c r="A57" s="249" t="s">
        <v>284</v>
      </c>
      <c r="B57" s="727" t="s">
        <v>181</v>
      </c>
      <c r="C57" s="727" t="s">
        <v>182</v>
      </c>
      <c r="D57" s="727" t="s">
        <v>214</v>
      </c>
      <c r="E57" s="727" t="s">
        <v>183</v>
      </c>
      <c r="F57" s="727" t="s">
        <v>184</v>
      </c>
      <c r="G57" s="727" t="s">
        <v>217</v>
      </c>
      <c r="H57" s="727" t="s">
        <v>185</v>
      </c>
      <c r="I57" s="727" t="s">
        <v>181</v>
      </c>
      <c r="J57" s="727" t="s">
        <v>186</v>
      </c>
      <c r="M57" s="238" t="s">
        <v>189</v>
      </c>
      <c r="N57" s="249" t="s">
        <v>284</v>
      </c>
      <c r="O57" s="727" t="s">
        <v>181</v>
      </c>
      <c r="P57" s="727" t="s">
        <v>182</v>
      </c>
      <c r="Q57" s="727" t="s">
        <v>214</v>
      </c>
      <c r="R57" s="727" t="s">
        <v>183</v>
      </c>
      <c r="S57" s="727" t="s">
        <v>184</v>
      </c>
      <c r="T57" s="727" t="s">
        <v>217</v>
      </c>
      <c r="U57" s="727" t="s">
        <v>185</v>
      </c>
      <c r="V57" s="727" t="s">
        <v>181</v>
      </c>
      <c r="W57" s="727" t="s">
        <v>186</v>
      </c>
      <c r="X57" s="238"/>
      <c r="Z57" s="238" t="s">
        <v>189</v>
      </c>
      <c r="AB57" s="211" t="s">
        <v>255</v>
      </c>
      <c r="AD57" s="211" t="s">
        <v>256</v>
      </c>
      <c r="AF57" s="211" t="s">
        <v>257</v>
      </c>
      <c r="AG57" s="211" t="s">
        <v>258</v>
      </c>
      <c r="AH57" s="211" t="s">
        <v>257</v>
      </c>
      <c r="AI57" s="211" t="s">
        <v>258</v>
      </c>
    </row>
    <row r="58" spans="1:35">
      <c r="A58" s="297">
        <f>D58*E58/1000</f>
        <v>6.23</v>
      </c>
      <c r="B58" s="904">
        <v>80</v>
      </c>
      <c r="C58" s="727" t="s">
        <v>196</v>
      </c>
      <c r="D58" s="727">
        <v>175</v>
      </c>
      <c r="E58" s="240">
        <v>35.6</v>
      </c>
      <c r="F58" s="268">
        <f>ROUNDDOWN(K58,0)</f>
        <v>818</v>
      </c>
      <c r="G58" s="251">
        <f>F58/(D58*E58/1000)</f>
        <v>131.30016051364365</v>
      </c>
      <c r="H58" s="251">
        <v>813</v>
      </c>
      <c r="I58" s="240">
        <f t="shared" ref="I58:J63" si="44">G22</f>
        <v>84.66</v>
      </c>
      <c r="J58" s="240">
        <f t="shared" si="44"/>
        <v>15.23</v>
      </c>
      <c r="K58" s="253">
        <f t="shared" ref="K58:K69" si="45">E22*L22</f>
        <v>818.44</v>
      </c>
      <c r="L58" s="243">
        <f t="shared" ref="L58:L66" si="46">K58/$K$62</f>
        <v>1.2398727465535526</v>
      </c>
      <c r="M58" s="242">
        <f t="shared" ref="M58:M63" si="47">F58/H58</f>
        <v>1.0061500615006149</v>
      </c>
      <c r="N58" s="327">
        <f>Q58*R58/1000</f>
        <v>24.92</v>
      </c>
      <c r="O58" s="904">
        <v>80</v>
      </c>
      <c r="P58" s="670" t="s">
        <v>247</v>
      </c>
      <c r="Q58" s="727">
        <v>700</v>
      </c>
      <c r="R58" s="240">
        <v>35.6</v>
      </c>
      <c r="S58" s="268">
        <f t="shared" ref="S58:S72" si="48">ROUNDDOWN(X58,0)</f>
        <v>3410</v>
      </c>
      <c r="T58" s="251">
        <f t="shared" ref="T58" si="49">S58/(Q58*R58/1000)</f>
        <v>136.83788121990369</v>
      </c>
      <c r="U58" s="251"/>
      <c r="V58" s="240">
        <v>84.221663626886453</v>
      </c>
      <c r="W58" s="240">
        <v>11.952354224617581</v>
      </c>
      <c r="X58" s="286">
        <f t="shared" ref="X58:X67" si="50">P22*W22</f>
        <v>3410.0854334160372</v>
      </c>
      <c r="Y58" s="242">
        <f t="shared" ref="Y58" si="51">X58/$X$66</f>
        <v>1.2496419493251874</v>
      </c>
      <c r="Z58" s="243" t="e">
        <f t="shared" ref="Z58" si="52">S58/U58</f>
        <v>#DIV/0!</v>
      </c>
      <c r="AB58" s="292">
        <v>3300</v>
      </c>
      <c r="AC58" s="211">
        <v>127</v>
      </c>
      <c r="AD58" s="211">
        <v>3232</v>
      </c>
      <c r="AE58" s="292">
        <f t="shared" ref="AE58:AE71" si="53">AD58/($AI$55*$AI$56/1000)</f>
        <v>122.79635258358662</v>
      </c>
      <c r="AF58" s="293">
        <f t="shared" ref="AF58:AG73" si="54">S58/AB58</f>
        <v>1.0333333333333334</v>
      </c>
      <c r="AG58" s="294">
        <f t="shared" si="54"/>
        <v>1.077463631652785</v>
      </c>
      <c r="AH58" s="293">
        <f t="shared" ref="AH58:AI71" si="55">S58/AD58</f>
        <v>1.0550742574257426</v>
      </c>
      <c r="AI58" s="294">
        <f t="shared" si="55"/>
        <v>1.1143480921125821</v>
      </c>
    </row>
    <row r="59" spans="1:35">
      <c r="A59" s="297">
        <f t="shared" ref="A59:A66" si="56">D59*E59/1000</f>
        <v>6.23</v>
      </c>
      <c r="B59" s="904"/>
      <c r="C59" s="727" t="s">
        <v>198</v>
      </c>
      <c r="D59" s="727">
        <v>175</v>
      </c>
      <c r="E59" s="240">
        <v>35.6</v>
      </c>
      <c r="F59" s="268">
        <f t="shared" ref="F59:F66" si="57">ROUNDDOWN(K59,0)</f>
        <v>779</v>
      </c>
      <c r="G59" s="251">
        <f t="shared" ref="G59:G66" si="58">F59/(D59*E59/1000)</f>
        <v>125.04012841091492</v>
      </c>
      <c r="H59" s="251">
        <v>780</v>
      </c>
      <c r="I59" s="240">
        <f t="shared" si="44"/>
        <v>82.88</v>
      </c>
      <c r="J59" s="240">
        <f t="shared" si="44"/>
        <v>6.55</v>
      </c>
      <c r="K59" s="253">
        <f t="shared" si="45"/>
        <v>779.56560000000002</v>
      </c>
      <c r="L59" s="243">
        <f t="shared" si="46"/>
        <v>1.1809810634752309</v>
      </c>
      <c r="M59" s="242">
        <f t="shared" si="47"/>
        <v>0.99871794871794872</v>
      </c>
      <c r="N59" s="327">
        <f t="shared" ref="N59:N72" si="59">Q59*R59/1000</f>
        <v>24.92</v>
      </c>
      <c r="O59" s="904"/>
      <c r="P59" s="727" t="s">
        <v>196</v>
      </c>
      <c r="Q59" s="727">
        <v>700</v>
      </c>
      <c r="R59" s="240">
        <v>35.6</v>
      </c>
      <c r="S59" s="268">
        <f t="shared" si="48"/>
        <v>3363</v>
      </c>
      <c r="T59" s="251">
        <f>S59/(Q59*R59/1000)</f>
        <v>134.95184590690207</v>
      </c>
      <c r="U59" s="251">
        <v>3350</v>
      </c>
      <c r="V59" s="240">
        <v>84.12</v>
      </c>
      <c r="W59" s="240">
        <v>12.68</v>
      </c>
      <c r="X59" s="286">
        <f t="shared" si="50"/>
        <v>3363.34</v>
      </c>
      <c r="Y59" s="242">
        <f>X59/$X$66</f>
        <v>1.232511863972003</v>
      </c>
      <c r="Z59" s="243">
        <f>S59/U59</f>
        <v>1.0038805970149254</v>
      </c>
      <c r="AB59" s="292">
        <v>3315</v>
      </c>
      <c r="AC59" s="211">
        <v>126</v>
      </c>
      <c r="AD59" s="211">
        <v>3172</v>
      </c>
      <c r="AE59" s="292">
        <f t="shared" si="53"/>
        <v>120.51671732522796</v>
      </c>
      <c r="AF59" s="293">
        <f t="shared" si="54"/>
        <v>1.0144796380090497</v>
      </c>
      <c r="AG59" s="294">
        <f t="shared" si="54"/>
        <v>1.0710463960865244</v>
      </c>
      <c r="AH59" s="293">
        <f t="shared" si="55"/>
        <v>1.0602143757881464</v>
      </c>
      <c r="AI59" s="294">
        <f t="shared" si="55"/>
        <v>1.1197769811695026</v>
      </c>
    </row>
    <row r="60" spans="1:35">
      <c r="A60" s="297">
        <f t="shared" si="56"/>
        <v>6.23</v>
      </c>
      <c r="B60" s="904"/>
      <c r="C60" s="727" t="s">
        <v>200</v>
      </c>
      <c r="D60" s="727">
        <v>175</v>
      </c>
      <c r="E60" s="240">
        <v>35.6</v>
      </c>
      <c r="F60" s="268">
        <f t="shared" si="57"/>
        <v>745</v>
      </c>
      <c r="G60" s="251">
        <f t="shared" si="58"/>
        <v>119.58266452648475</v>
      </c>
      <c r="H60" s="251">
        <v>735</v>
      </c>
      <c r="I60" s="240">
        <f t="shared" si="44"/>
        <v>81.48</v>
      </c>
      <c r="J60" s="240">
        <f t="shared" si="44"/>
        <v>2.0499999999999998</v>
      </c>
      <c r="K60" s="253">
        <f t="shared" si="45"/>
        <v>745.4076</v>
      </c>
      <c r="L60" s="243">
        <f t="shared" si="46"/>
        <v>1.1292343584305409</v>
      </c>
      <c r="M60" s="242">
        <f t="shared" si="47"/>
        <v>1.0136054421768708</v>
      </c>
      <c r="N60" s="327">
        <f t="shared" si="59"/>
        <v>24.92</v>
      </c>
      <c r="O60" s="904"/>
      <c r="P60" s="669" t="s">
        <v>244</v>
      </c>
      <c r="Q60" s="727">
        <v>700</v>
      </c>
      <c r="R60" s="240">
        <v>35.6</v>
      </c>
      <c r="S60" s="268">
        <f t="shared" si="48"/>
        <v>3325</v>
      </c>
      <c r="T60" s="251">
        <f t="shared" ref="T60:T72" si="60">S60/(Q60*R60/1000)</f>
        <v>133.42696629213484</v>
      </c>
      <c r="U60" s="251">
        <v>3297</v>
      </c>
      <c r="V60" s="240">
        <v>83.770479936283579</v>
      </c>
      <c r="W60" s="240">
        <v>9.8710725480912931</v>
      </c>
      <c r="X60" s="286">
        <f t="shared" si="50"/>
        <v>3325.2025416782294</v>
      </c>
      <c r="Y60" s="242">
        <f t="shared" ref="Y60:Y72" si="61">X60/$X$66</f>
        <v>1.2185362118395036</v>
      </c>
      <c r="Z60" s="243">
        <f t="shared" ref="Z60:Z73" si="62">S60/U60</f>
        <v>1.0084925690021231</v>
      </c>
      <c r="AB60" s="292">
        <v>3247</v>
      </c>
      <c r="AC60" s="211">
        <v>123</v>
      </c>
      <c r="AD60" s="211">
        <v>3107</v>
      </c>
      <c r="AE60" s="292">
        <f t="shared" si="53"/>
        <v>118.04711246200608</v>
      </c>
      <c r="AF60" s="293">
        <f t="shared" si="54"/>
        <v>1.0240221743147522</v>
      </c>
      <c r="AG60" s="294">
        <f t="shared" si="54"/>
        <v>1.084772083675893</v>
      </c>
      <c r="AH60" s="293">
        <f t="shared" si="55"/>
        <v>1.0701641454779529</v>
      </c>
      <c r="AI60" s="294">
        <f t="shared" si="55"/>
        <v>1.1302857266845796</v>
      </c>
    </row>
    <row r="61" spans="1:35">
      <c r="A61" s="297">
        <f t="shared" si="56"/>
        <v>6.23</v>
      </c>
      <c r="B61" s="904">
        <v>90</v>
      </c>
      <c r="C61" s="727" t="s">
        <v>196</v>
      </c>
      <c r="D61" s="727">
        <v>175</v>
      </c>
      <c r="E61" s="240">
        <v>35.6</v>
      </c>
      <c r="F61" s="268">
        <f t="shared" si="57"/>
        <v>716</v>
      </c>
      <c r="G61" s="251">
        <f t="shared" si="58"/>
        <v>114.92776886035313</v>
      </c>
      <c r="H61" s="251">
        <v>696</v>
      </c>
      <c r="I61" s="240">
        <f t="shared" si="44"/>
        <v>92.16</v>
      </c>
      <c r="J61" s="240">
        <f t="shared" si="44"/>
        <v>57.54</v>
      </c>
      <c r="K61" s="253">
        <f t="shared" si="45"/>
        <v>716.22</v>
      </c>
      <c r="L61" s="243">
        <f t="shared" si="46"/>
        <v>1.0850174216027875</v>
      </c>
      <c r="M61" s="242">
        <f t="shared" si="47"/>
        <v>1.0287356321839081</v>
      </c>
      <c r="N61" s="327">
        <f t="shared" si="59"/>
        <v>24.92</v>
      </c>
      <c r="O61" s="904"/>
      <c r="P61" s="727" t="s">
        <v>198</v>
      </c>
      <c r="Q61" s="727">
        <v>700</v>
      </c>
      <c r="R61" s="240">
        <v>35.6</v>
      </c>
      <c r="S61" s="268">
        <f t="shared" si="48"/>
        <v>3196</v>
      </c>
      <c r="T61" s="251">
        <f t="shared" si="60"/>
        <v>128.25040128410913</v>
      </c>
      <c r="U61" s="251">
        <v>3216</v>
      </c>
      <c r="V61" s="240">
        <v>82.84</v>
      </c>
      <c r="W61" s="240">
        <v>6.34</v>
      </c>
      <c r="X61" s="286">
        <f t="shared" si="50"/>
        <v>3196.2545999999998</v>
      </c>
      <c r="Y61" s="242">
        <f t="shared" si="61"/>
        <v>1.1712826282133499</v>
      </c>
      <c r="Z61" s="243">
        <f t="shared" si="62"/>
        <v>0.99378109452736318</v>
      </c>
      <c r="AB61" s="292">
        <v>3133</v>
      </c>
      <c r="AC61" s="211">
        <v>119</v>
      </c>
      <c r="AD61" s="211">
        <v>3042</v>
      </c>
      <c r="AE61" s="292">
        <f t="shared" si="53"/>
        <v>115.57750759878419</v>
      </c>
      <c r="AF61" s="293">
        <f t="shared" si="54"/>
        <v>1.0201085221832109</v>
      </c>
      <c r="AG61" s="294">
        <f t="shared" si="54"/>
        <v>1.0777344645723457</v>
      </c>
      <c r="AH61" s="293">
        <f t="shared" si="55"/>
        <v>1.0506245890861277</v>
      </c>
      <c r="AI61" s="294">
        <f t="shared" si="55"/>
        <v>1.1096484424055728</v>
      </c>
    </row>
    <row r="62" spans="1:35">
      <c r="A62" s="297">
        <f t="shared" si="56"/>
        <v>6.23</v>
      </c>
      <c r="B62" s="904"/>
      <c r="C62" s="727" t="s">
        <v>198</v>
      </c>
      <c r="D62" s="727">
        <v>175</v>
      </c>
      <c r="E62" s="240">
        <v>35.6</v>
      </c>
      <c r="F62" s="268">
        <f t="shared" si="57"/>
        <v>660</v>
      </c>
      <c r="G62" s="251">
        <f t="shared" si="58"/>
        <v>105.93900481540931</v>
      </c>
      <c r="H62" s="251">
        <v>650</v>
      </c>
      <c r="I62" s="240">
        <f t="shared" si="44"/>
        <v>93.82</v>
      </c>
      <c r="J62" s="240">
        <f t="shared" si="44"/>
        <v>58.94</v>
      </c>
      <c r="K62" s="253">
        <f t="shared" si="45"/>
        <v>660.1</v>
      </c>
      <c r="L62" s="243">
        <f t="shared" si="46"/>
        <v>1</v>
      </c>
      <c r="M62" s="242">
        <f t="shared" si="47"/>
        <v>1.0153846153846153</v>
      </c>
      <c r="N62" s="327">
        <f t="shared" si="59"/>
        <v>24.92</v>
      </c>
      <c r="O62" s="904"/>
      <c r="P62" s="727" t="s">
        <v>200</v>
      </c>
      <c r="Q62" s="727">
        <v>700</v>
      </c>
      <c r="R62" s="240">
        <v>35.6</v>
      </c>
      <c r="S62" s="268">
        <f t="shared" si="48"/>
        <v>3094</v>
      </c>
      <c r="T62" s="251">
        <f t="shared" si="60"/>
        <v>124.15730337078651</v>
      </c>
      <c r="U62" s="251">
        <v>3029</v>
      </c>
      <c r="V62" s="240">
        <v>81.53</v>
      </c>
      <c r="W62" s="240">
        <v>1.8</v>
      </c>
      <c r="X62" s="286">
        <f t="shared" si="50"/>
        <v>3094.6733999999997</v>
      </c>
      <c r="Y62" s="242">
        <f t="shared" si="61"/>
        <v>1.1340577166205543</v>
      </c>
      <c r="Z62" s="243">
        <f t="shared" si="62"/>
        <v>1.0214592274678111</v>
      </c>
      <c r="AB62" s="292">
        <v>3021</v>
      </c>
      <c r="AC62" s="211">
        <v>115</v>
      </c>
      <c r="AD62" s="211">
        <v>2877</v>
      </c>
      <c r="AE62" s="292">
        <f t="shared" si="53"/>
        <v>109.30851063829788</v>
      </c>
      <c r="AF62" s="293">
        <f t="shared" si="54"/>
        <v>1.0241641840450182</v>
      </c>
      <c r="AG62" s="294">
        <f t="shared" si="54"/>
        <v>1.0796287249633609</v>
      </c>
      <c r="AH62" s="293">
        <f t="shared" si="55"/>
        <v>1.0754257907542579</v>
      </c>
      <c r="AI62" s="294">
        <f t="shared" si="55"/>
        <v>1.1358429700101149</v>
      </c>
    </row>
    <row r="63" spans="1:35">
      <c r="A63" s="297">
        <f t="shared" si="56"/>
        <v>6.23</v>
      </c>
      <c r="B63" s="904"/>
      <c r="C63" s="727" t="s">
        <v>200</v>
      </c>
      <c r="D63" s="727">
        <v>175</v>
      </c>
      <c r="E63" s="240">
        <v>35.6</v>
      </c>
      <c r="F63" s="268">
        <f t="shared" si="57"/>
        <v>625</v>
      </c>
      <c r="G63" s="251">
        <f t="shared" si="58"/>
        <v>100.32102728731941</v>
      </c>
      <c r="H63" s="251">
        <v>624</v>
      </c>
      <c r="I63" s="240">
        <f t="shared" si="44"/>
        <v>94.46</v>
      </c>
      <c r="J63" s="240">
        <f t="shared" si="44"/>
        <v>59.39</v>
      </c>
      <c r="K63" s="253">
        <f t="shared" si="45"/>
        <v>625.77</v>
      </c>
      <c r="L63" s="243">
        <f t="shared" si="46"/>
        <v>0.94799272837448867</v>
      </c>
      <c r="M63" s="242">
        <f t="shared" si="47"/>
        <v>1.0016025641025641</v>
      </c>
      <c r="N63" s="327">
        <f t="shared" si="59"/>
        <v>24.92</v>
      </c>
      <c r="O63" s="904">
        <v>90</v>
      </c>
      <c r="P63" s="669" t="s">
        <v>247</v>
      </c>
      <c r="Q63" s="727">
        <v>700</v>
      </c>
      <c r="R63" s="240">
        <v>35.6</v>
      </c>
      <c r="S63" s="268">
        <f t="shared" si="48"/>
        <v>2999</v>
      </c>
      <c r="T63" s="251">
        <f t="shared" si="60"/>
        <v>120.34510433386838</v>
      </c>
      <c r="U63" s="251"/>
      <c r="V63" s="240">
        <v>92.237340828447486</v>
      </c>
      <c r="W63" s="240">
        <v>58.913783694464655</v>
      </c>
      <c r="X63" s="286">
        <f t="shared" si="50"/>
        <v>2999.3530522212104</v>
      </c>
      <c r="Y63" s="242">
        <f t="shared" si="61"/>
        <v>1.0991271239610865</v>
      </c>
      <c r="Z63" s="243" t="e">
        <f t="shared" si="62"/>
        <v>#DIV/0!</v>
      </c>
      <c r="AB63" s="292"/>
      <c r="AD63" s="211">
        <v>2722</v>
      </c>
      <c r="AE63" s="292">
        <f t="shared" si="53"/>
        <v>103.41945288753799</v>
      </c>
      <c r="AF63" s="293" t="e">
        <f t="shared" si="54"/>
        <v>#DIV/0!</v>
      </c>
      <c r="AG63" s="294" t="e">
        <f t="shared" si="54"/>
        <v>#DIV/0!</v>
      </c>
      <c r="AH63" s="293">
        <f t="shared" si="55"/>
        <v>1.1017634092578985</v>
      </c>
      <c r="AI63" s="294">
        <f t="shared" si="55"/>
        <v>1.1636602300027243</v>
      </c>
    </row>
    <row r="64" spans="1:35">
      <c r="A64" s="297">
        <f t="shared" si="56"/>
        <v>6.23</v>
      </c>
      <c r="B64" s="904">
        <v>97</v>
      </c>
      <c r="C64" s="727" t="s">
        <v>196</v>
      </c>
      <c r="D64" s="727">
        <v>175</v>
      </c>
      <c r="E64" s="240">
        <v>35.6</v>
      </c>
      <c r="F64" s="268">
        <f t="shared" si="57"/>
        <v>660</v>
      </c>
      <c r="G64" s="251">
        <f t="shared" si="58"/>
        <v>105.93900481540931</v>
      </c>
      <c r="H64" s="251"/>
      <c r="I64" s="240">
        <v>97.620471482968199</v>
      </c>
      <c r="J64" s="240">
        <v>88.290886271477902</v>
      </c>
      <c r="K64" s="286">
        <f t="shared" si="45"/>
        <v>660.69070405445962</v>
      </c>
      <c r="L64" s="243">
        <f t="shared" si="46"/>
        <v>1.0008948705566727</v>
      </c>
      <c r="N64" s="327">
        <f t="shared" si="59"/>
        <v>24.92</v>
      </c>
      <c r="O64" s="904"/>
      <c r="P64" s="727" t="s">
        <v>196</v>
      </c>
      <c r="Q64" s="727">
        <v>700</v>
      </c>
      <c r="R64" s="240">
        <v>35.6</v>
      </c>
      <c r="S64" s="268">
        <f t="shared" si="48"/>
        <v>2920</v>
      </c>
      <c r="T64" s="251">
        <f t="shared" si="60"/>
        <v>117.17495987158908</v>
      </c>
      <c r="U64" s="251">
        <v>2868</v>
      </c>
      <c r="V64" s="240">
        <v>93.88</v>
      </c>
      <c r="W64" s="240">
        <v>63.85</v>
      </c>
      <c r="X64" s="673">
        <f t="shared" si="50"/>
        <v>2920.83</v>
      </c>
      <c r="Y64" s="242">
        <f t="shared" si="61"/>
        <v>1.0703519797716987</v>
      </c>
      <c r="Z64" s="243">
        <f t="shared" si="62"/>
        <v>1.0181311018131103</v>
      </c>
      <c r="AB64" s="292">
        <v>2750</v>
      </c>
      <c r="AC64" s="211">
        <v>104</v>
      </c>
      <c r="AD64" s="211">
        <v>2671</v>
      </c>
      <c r="AE64" s="292">
        <f t="shared" si="53"/>
        <v>101.48176291793312</v>
      </c>
      <c r="AF64" s="293">
        <f t="shared" si="54"/>
        <v>1.0618181818181818</v>
      </c>
      <c r="AG64" s="294">
        <f t="shared" si="54"/>
        <v>1.1266823064575873</v>
      </c>
      <c r="AH64" s="293">
        <f t="shared" si="55"/>
        <v>1.0932235117933358</v>
      </c>
      <c r="AI64" s="294">
        <f t="shared" si="55"/>
        <v>1.1546405630176806</v>
      </c>
    </row>
    <row r="65" spans="1:35">
      <c r="A65" s="297">
        <f t="shared" si="56"/>
        <v>6.23</v>
      </c>
      <c r="B65" s="904"/>
      <c r="C65" s="727" t="s">
        <v>198</v>
      </c>
      <c r="D65" s="727">
        <v>175</v>
      </c>
      <c r="E65" s="240">
        <v>35.6</v>
      </c>
      <c r="F65" s="268">
        <f t="shared" si="57"/>
        <v>586</v>
      </c>
      <c r="G65" s="251">
        <f t="shared" si="58"/>
        <v>94.060995184590681</v>
      </c>
      <c r="H65" s="251"/>
      <c r="I65" s="240">
        <f t="shared" ref="I65:J68" si="63">G29</f>
        <v>97.675708323579642</v>
      </c>
      <c r="J65" s="240">
        <f t="shared" si="63"/>
        <v>89.00569196817122</v>
      </c>
      <c r="K65" s="253">
        <f t="shared" si="45"/>
        <v>586.62250225407638</v>
      </c>
      <c r="L65" s="243">
        <f t="shared" si="46"/>
        <v>0.88868732351776447</v>
      </c>
      <c r="N65" s="327">
        <f t="shared" si="59"/>
        <v>24.92</v>
      </c>
      <c r="O65" s="904"/>
      <c r="P65" s="670" t="s">
        <v>244</v>
      </c>
      <c r="Q65" s="727">
        <v>700</v>
      </c>
      <c r="R65" s="240">
        <v>35.6</v>
      </c>
      <c r="S65" s="268">
        <f t="shared" si="48"/>
        <v>2879</v>
      </c>
      <c r="T65" s="251">
        <f t="shared" si="60"/>
        <v>115.52969502407704</v>
      </c>
      <c r="U65" s="251">
        <v>2761</v>
      </c>
      <c r="V65" s="240">
        <v>93.224936909791651</v>
      </c>
      <c r="W65" s="240">
        <v>57.992813080397433</v>
      </c>
      <c r="X65" s="286">
        <f t="shared" si="50"/>
        <v>2879.5180844731735</v>
      </c>
      <c r="Y65" s="242">
        <f t="shared" si="61"/>
        <v>1.0552130327695453</v>
      </c>
      <c r="Z65" s="243">
        <f t="shared" si="62"/>
        <v>1.0427381383556682</v>
      </c>
      <c r="AB65" s="292">
        <v>2680</v>
      </c>
      <c r="AC65" s="211">
        <v>102</v>
      </c>
      <c r="AD65" s="211">
        <v>2616</v>
      </c>
      <c r="AE65" s="292">
        <f t="shared" si="53"/>
        <v>99.392097264437695</v>
      </c>
      <c r="AF65" s="293">
        <f t="shared" si="54"/>
        <v>1.0742537313432836</v>
      </c>
      <c r="AG65" s="294">
        <f t="shared" si="54"/>
        <v>1.1326440688635004</v>
      </c>
      <c r="AH65" s="293">
        <f t="shared" si="55"/>
        <v>1.1005351681957187</v>
      </c>
      <c r="AI65" s="294">
        <f t="shared" si="55"/>
        <v>1.1623629866336802</v>
      </c>
    </row>
    <row r="66" spans="1:35">
      <c r="A66" s="297">
        <f t="shared" si="56"/>
        <v>6.23</v>
      </c>
      <c r="B66" s="904"/>
      <c r="C66" s="727" t="s">
        <v>200</v>
      </c>
      <c r="D66" s="727">
        <v>175</v>
      </c>
      <c r="E66" s="240">
        <v>35.6</v>
      </c>
      <c r="F66" s="268">
        <f t="shared" si="57"/>
        <v>562</v>
      </c>
      <c r="G66" s="251">
        <f t="shared" si="58"/>
        <v>90.208667736757619</v>
      </c>
      <c r="H66" s="251"/>
      <c r="I66" s="240">
        <f t="shared" si="63"/>
        <v>97.01542965096732</v>
      </c>
      <c r="J66" s="240">
        <f t="shared" si="63"/>
        <v>87.192926671728188</v>
      </c>
      <c r="K66" s="253">
        <f t="shared" si="45"/>
        <v>562.65067889417594</v>
      </c>
      <c r="L66" s="243">
        <f t="shared" si="46"/>
        <v>0.85237188137278586</v>
      </c>
      <c r="N66" s="327">
        <f t="shared" si="59"/>
        <v>24.92</v>
      </c>
      <c r="O66" s="904"/>
      <c r="P66" s="727" t="s">
        <v>198</v>
      </c>
      <c r="Q66" s="727">
        <v>700</v>
      </c>
      <c r="R66" s="240">
        <v>35.6</v>
      </c>
      <c r="S66" s="268">
        <f t="shared" si="48"/>
        <v>2728</v>
      </c>
      <c r="T66" s="251">
        <f t="shared" si="60"/>
        <v>109.47030497592294</v>
      </c>
      <c r="U66" s="251">
        <v>2680</v>
      </c>
      <c r="V66" s="240">
        <v>93.83</v>
      </c>
      <c r="W66" s="240">
        <v>56.35</v>
      </c>
      <c r="X66" s="673">
        <f t="shared" si="50"/>
        <v>2728.85</v>
      </c>
      <c r="Y66" s="242">
        <f t="shared" si="61"/>
        <v>1</v>
      </c>
      <c r="Z66" s="243">
        <f t="shared" si="62"/>
        <v>1.017910447761194</v>
      </c>
      <c r="AB66" s="292">
        <v>2539</v>
      </c>
      <c r="AC66" s="211">
        <v>96</v>
      </c>
      <c r="AD66" s="211">
        <v>2565</v>
      </c>
      <c r="AE66" s="292">
        <f t="shared" si="53"/>
        <v>97.454407294832819</v>
      </c>
      <c r="AF66" s="293">
        <f t="shared" si="54"/>
        <v>1.0744387554155179</v>
      </c>
      <c r="AG66" s="294">
        <f t="shared" si="54"/>
        <v>1.1403156768325307</v>
      </c>
      <c r="AH66" s="293">
        <f t="shared" si="55"/>
        <v>1.0635477582846005</v>
      </c>
      <c r="AI66" s="294">
        <f t="shared" si="55"/>
        <v>1.123297632345533</v>
      </c>
    </row>
    <row r="67" spans="1:35">
      <c r="B67" s="249">
        <v>90</v>
      </c>
      <c r="C67" s="249" t="s">
        <v>609</v>
      </c>
      <c r="D67" s="746">
        <v>175</v>
      </c>
      <c r="E67" s="744">
        <v>35.6</v>
      </c>
      <c r="F67" s="749">
        <f t="shared" ref="F67" si="64">ROUNDDOWN(K67,0)</f>
        <v>707</v>
      </c>
      <c r="G67" s="747">
        <f t="shared" ref="G67" si="65">F67/(D67*E67/1000)</f>
        <v>113.48314606741572</v>
      </c>
      <c r="H67" s="747"/>
      <c r="I67" s="744">
        <f t="shared" si="63"/>
        <v>93.632975084397287</v>
      </c>
      <c r="J67" s="744">
        <f t="shared" si="63"/>
        <v>62.155336952239004</v>
      </c>
      <c r="K67" s="253">
        <f t="shared" si="45"/>
        <v>707.16637938295969</v>
      </c>
      <c r="L67" s="243">
        <f t="shared" ref="L67" si="66">K67/$K$62</f>
        <v>1.0713018927177089</v>
      </c>
      <c r="N67" s="327">
        <f t="shared" si="59"/>
        <v>24.92</v>
      </c>
      <c r="O67" s="904"/>
      <c r="P67" s="727" t="s">
        <v>200</v>
      </c>
      <c r="Q67" s="727">
        <v>700</v>
      </c>
      <c r="R67" s="240">
        <v>35.6</v>
      </c>
      <c r="S67" s="268">
        <f t="shared" si="48"/>
        <v>2560</v>
      </c>
      <c r="T67" s="251">
        <f t="shared" si="60"/>
        <v>102.72873194221508</v>
      </c>
      <c r="U67" s="251">
        <v>2573</v>
      </c>
      <c r="V67" s="240">
        <v>94.19</v>
      </c>
      <c r="W67" s="240">
        <v>58.24</v>
      </c>
      <c r="X67" s="673">
        <f t="shared" si="50"/>
        <v>2560.88</v>
      </c>
      <c r="Y67" s="242">
        <f t="shared" si="61"/>
        <v>0.93844659838393474</v>
      </c>
      <c r="Z67" s="243">
        <f t="shared" si="62"/>
        <v>0.99494753206373887</v>
      </c>
      <c r="AB67" s="292">
        <v>2414</v>
      </c>
      <c r="AC67" s="211">
        <v>92</v>
      </c>
      <c r="AD67" s="211">
        <v>2425</v>
      </c>
      <c r="AE67" s="292">
        <f t="shared" si="53"/>
        <v>92.135258358662611</v>
      </c>
      <c r="AF67" s="293">
        <f t="shared" si="54"/>
        <v>1.0604805302402651</v>
      </c>
      <c r="AG67" s="294">
        <f t="shared" si="54"/>
        <v>1.116616651545816</v>
      </c>
      <c r="AH67" s="293">
        <f t="shared" si="55"/>
        <v>1.0556701030927835</v>
      </c>
      <c r="AI67" s="294">
        <f t="shared" si="55"/>
        <v>1.1149774122552993</v>
      </c>
    </row>
    <row r="68" spans="1:35">
      <c r="B68" s="249">
        <v>97</v>
      </c>
      <c r="C68" s="249" t="s">
        <v>671</v>
      </c>
      <c r="D68" s="263">
        <v>175</v>
      </c>
      <c r="E68" s="748">
        <v>35.6</v>
      </c>
      <c r="F68" s="750">
        <f t="shared" ref="F68" si="67">ROUNDDOWN(K68,0)</f>
        <v>629</v>
      </c>
      <c r="G68" s="241">
        <f t="shared" ref="G68" si="68">F68/(D68*E68/1000)</f>
        <v>100.96308186195826</v>
      </c>
      <c r="H68" s="241"/>
      <c r="I68" s="748">
        <f t="shared" si="63"/>
        <v>97.629009494008429</v>
      </c>
      <c r="J68" s="748">
        <f t="shared" si="63"/>
        <v>85.236948253331832</v>
      </c>
      <c r="K68" s="253">
        <f t="shared" si="45"/>
        <v>629.27697888856358</v>
      </c>
      <c r="L68" s="243">
        <f t="shared" ref="L68" si="69">K68/$K$62</f>
        <v>0.95330552778149302</v>
      </c>
      <c r="N68" s="327">
        <f t="shared" si="59"/>
        <v>24.92</v>
      </c>
      <c r="O68" s="904"/>
      <c r="P68" s="669" t="s">
        <v>245</v>
      </c>
      <c r="Q68" s="727">
        <v>700</v>
      </c>
      <c r="R68" s="240">
        <v>35.6</v>
      </c>
      <c r="S68" s="268">
        <f t="shared" si="48"/>
        <v>2399</v>
      </c>
      <c r="T68" s="251">
        <f t="shared" si="60"/>
        <v>96.268057784911704</v>
      </c>
      <c r="U68" s="251"/>
      <c r="V68" s="240">
        <v>93.312668540445486</v>
      </c>
      <c r="W68" s="240">
        <v>54.521926358068363</v>
      </c>
      <c r="X68" s="286">
        <f>P32*X32</f>
        <v>2399.7596653270562</v>
      </c>
      <c r="Y68" s="242">
        <f t="shared" si="61"/>
        <v>0.87940328905108611</v>
      </c>
      <c r="Z68" s="243" t="e">
        <f t="shared" si="62"/>
        <v>#DIV/0!</v>
      </c>
      <c r="AD68" s="211">
        <v>2255</v>
      </c>
      <c r="AE68" s="292">
        <f t="shared" si="53"/>
        <v>85.676291793313069</v>
      </c>
      <c r="AF68" s="293" t="e">
        <f t="shared" si="54"/>
        <v>#DIV/0!</v>
      </c>
      <c r="AG68" s="294" t="e">
        <f t="shared" si="54"/>
        <v>#DIV/0!</v>
      </c>
      <c r="AH68" s="293">
        <f t="shared" si="55"/>
        <v>1.0638580931263859</v>
      </c>
      <c r="AI68" s="294">
        <f t="shared" si="55"/>
        <v>1.1236254017289915</v>
      </c>
    </row>
    <row r="69" spans="1:35">
      <c r="B69" s="249">
        <v>80</v>
      </c>
      <c r="C69" s="249" t="s">
        <v>671</v>
      </c>
      <c r="D69" s="263">
        <v>175</v>
      </c>
      <c r="E69" s="748">
        <v>35.6</v>
      </c>
      <c r="F69" s="750">
        <f t="shared" ref="F69" si="70">ROUNDDOWN(K69,0)</f>
        <v>799</v>
      </c>
      <c r="G69" s="241">
        <f t="shared" ref="G69" si="71">F69/(D69*E69/1000)</f>
        <v>128.25040128410913</v>
      </c>
      <c r="H69" s="241"/>
      <c r="I69" s="748">
        <f t="shared" ref="I69" si="72">G33</f>
        <v>83.84536444574006</v>
      </c>
      <c r="J69" s="748">
        <f t="shared" ref="J69" si="73">H33</f>
        <v>13.299772919972751</v>
      </c>
      <c r="K69" s="253">
        <f t="shared" si="45"/>
        <v>799.01918135493827</v>
      </c>
      <c r="L69" s="243">
        <f t="shared" ref="L69" si="74">K69/$K$62</f>
        <v>1.2104517214890747</v>
      </c>
      <c r="N69" s="327">
        <f t="shared" si="59"/>
        <v>24.92</v>
      </c>
      <c r="O69" s="904">
        <v>97</v>
      </c>
      <c r="P69" s="727" t="s">
        <v>196</v>
      </c>
      <c r="Q69" s="727">
        <v>700</v>
      </c>
      <c r="R69" s="240">
        <v>35.6</v>
      </c>
      <c r="S69" s="268">
        <f t="shared" si="48"/>
        <v>2696</v>
      </c>
      <c r="T69" s="251">
        <f t="shared" si="60"/>
        <v>108.18619582664526</v>
      </c>
      <c r="U69" s="251"/>
      <c r="V69" s="240">
        <v>97.371326019658497</v>
      </c>
      <c r="W69" s="240">
        <v>87.456817118458574</v>
      </c>
      <c r="X69" s="286">
        <f>P33*W33</f>
        <v>2696.9388526048219</v>
      </c>
      <c r="Y69" s="242">
        <f t="shared" si="61"/>
        <v>0.98830600897990806</v>
      </c>
      <c r="Z69" s="243" t="e">
        <f t="shared" si="62"/>
        <v>#DIV/0!</v>
      </c>
      <c r="AD69" s="211">
        <v>2379</v>
      </c>
      <c r="AE69" s="292">
        <f t="shared" si="53"/>
        <v>90.387537993920972</v>
      </c>
      <c r="AF69" s="293" t="e">
        <f t="shared" si="54"/>
        <v>#DIV/0!</v>
      </c>
      <c r="AG69" s="294" t="e">
        <f t="shared" si="54"/>
        <v>#DIV/0!</v>
      </c>
      <c r="AH69" s="293">
        <f t="shared" si="55"/>
        <v>1.1332492643968053</v>
      </c>
      <c r="AI69" s="294">
        <f t="shared" si="55"/>
        <v>1.1969149534078618</v>
      </c>
    </row>
    <row r="70" spans="1:35">
      <c r="B70" s="736"/>
      <c r="C70" s="735"/>
      <c r="D70" s="735"/>
      <c r="E70" s="735"/>
      <c r="F70" s="735"/>
      <c r="G70" s="735"/>
      <c r="H70" s="735"/>
      <c r="I70" s="735"/>
      <c r="J70" s="735"/>
      <c r="K70" s="735"/>
      <c r="L70" s="735"/>
      <c r="N70" s="327">
        <f t="shared" si="59"/>
        <v>24.92</v>
      </c>
      <c r="O70" s="904"/>
      <c r="P70" s="727" t="s">
        <v>198</v>
      </c>
      <c r="Q70" s="727">
        <v>700</v>
      </c>
      <c r="R70" s="240">
        <v>35.6</v>
      </c>
      <c r="S70" s="268">
        <f t="shared" si="48"/>
        <v>2446</v>
      </c>
      <c r="T70" s="251">
        <f t="shared" si="60"/>
        <v>98.154093097913318</v>
      </c>
      <c r="U70" s="251"/>
      <c r="V70" s="240">
        <v>98.16515912702333</v>
      </c>
      <c r="W70" s="240">
        <v>89.320201868266707</v>
      </c>
      <c r="X70" s="241">
        <f>P34*W34</f>
        <v>2446.0835573679328</v>
      </c>
      <c r="Y70" s="242">
        <f t="shared" si="61"/>
        <v>0.89637889857190134</v>
      </c>
      <c r="Z70" s="243" t="e">
        <f t="shared" si="62"/>
        <v>#DIV/0!</v>
      </c>
      <c r="AD70" s="211">
        <v>2282</v>
      </c>
      <c r="AE70" s="292">
        <f t="shared" si="53"/>
        <v>86.702127659574472</v>
      </c>
      <c r="AF70" s="293" t="e">
        <f t="shared" si="54"/>
        <v>#DIV/0!</v>
      </c>
      <c r="AG70" s="294" t="e">
        <f t="shared" si="54"/>
        <v>#DIV/0!</v>
      </c>
      <c r="AH70" s="293">
        <f t="shared" si="55"/>
        <v>1.0718667835232252</v>
      </c>
      <c r="AI70" s="294">
        <f t="shared" si="55"/>
        <v>1.1320840185526198</v>
      </c>
    </row>
    <row r="71" spans="1:35">
      <c r="A71" s="249"/>
      <c r="B71" s="238"/>
      <c r="C71" s="238"/>
      <c r="D71" s="238"/>
      <c r="E71" s="238"/>
      <c r="F71" s="238"/>
      <c r="G71" s="238"/>
      <c r="H71" s="238"/>
      <c r="I71" s="238"/>
      <c r="J71" s="238"/>
      <c r="K71" s="735"/>
      <c r="L71" s="735"/>
      <c r="N71" s="327">
        <f t="shared" si="59"/>
        <v>24.92</v>
      </c>
      <c r="O71" s="904"/>
      <c r="P71" s="727" t="s">
        <v>200</v>
      </c>
      <c r="Q71" s="727">
        <v>700</v>
      </c>
      <c r="R71" s="240">
        <v>35.6</v>
      </c>
      <c r="S71" s="268">
        <f t="shared" si="48"/>
        <v>2319</v>
      </c>
      <c r="T71" s="251">
        <f t="shared" si="60"/>
        <v>93.057784911717491</v>
      </c>
      <c r="U71" s="251"/>
      <c r="V71" s="240">
        <v>97.162921371870695</v>
      </c>
      <c r="W71" s="240">
        <v>88.249243397269879</v>
      </c>
      <c r="X71" s="241">
        <f>P35*W35</f>
        <v>2319.5404407664237</v>
      </c>
      <c r="Y71" s="242">
        <f t="shared" si="61"/>
        <v>0.85000657447878181</v>
      </c>
      <c r="Z71" s="243" t="e">
        <f t="shared" si="62"/>
        <v>#DIV/0!</v>
      </c>
      <c r="AD71" s="211">
        <v>2158</v>
      </c>
      <c r="AE71" s="292">
        <f t="shared" si="53"/>
        <v>81.99088145896657</v>
      </c>
      <c r="AF71" s="293" t="e">
        <f t="shared" si="54"/>
        <v>#DIV/0!</v>
      </c>
      <c r="AG71" s="294" t="e">
        <f t="shared" si="54"/>
        <v>#DIV/0!</v>
      </c>
      <c r="AH71" s="293">
        <f t="shared" si="55"/>
        <v>1.0746061167747916</v>
      </c>
      <c r="AI71" s="294">
        <f t="shared" si="55"/>
        <v>1.1349772469306785</v>
      </c>
    </row>
    <row r="72" spans="1:35">
      <c r="A72" s="297"/>
      <c r="B72" s="738"/>
      <c r="C72" s="238"/>
      <c r="D72" s="238"/>
      <c r="E72" s="245"/>
      <c r="F72" s="737"/>
      <c r="G72" s="673"/>
      <c r="H72" s="673"/>
      <c r="I72" s="245"/>
      <c r="J72" s="245"/>
      <c r="K72" s="735"/>
      <c r="L72" s="735"/>
      <c r="N72" s="297">
        <f t="shared" si="59"/>
        <v>24.92</v>
      </c>
      <c r="O72" s="249">
        <v>97</v>
      </c>
      <c r="P72" s="249" t="s">
        <v>682</v>
      </c>
      <c r="Q72" s="249">
        <v>700</v>
      </c>
      <c r="R72" s="249">
        <v>35.6</v>
      </c>
      <c r="S72" s="743">
        <f t="shared" si="48"/>
        <v>2545</v>
      </c>
      <c r="T72" s="246">
        <f t="shared" si="60"/>
        <v>102.12680577849116</v>
      </c>
      <c r="U72" s="249"/>
      <c r="V72" s="744">
        <v>97.588929821138223</v>
      </c>
      <c r="W72" s="744">
        <v>85.077264916522893</v>
      </c>
      <c r="X72" s="666">
        <f>P36*W36</f>
        <v>2545.3974926556421</v>
      </c>
      <c r="Y72" s="242">
        <f t="shared" si="61"/>
        <v>0.93277296027837442</v>
      </c>
      <c r="Z72" s="211" t="e">
        <f t="shared" si="62"/>
        <v>#DIV/0!</v>
      </c>
      <c r="AF72" s="211" t="e">
        <f t="shared" si="54"/>
        <v>#DIV/0!</v>
      </c>
    </row>
    <row r="73" spans="1:35">
      <c r="A73" s="297"/>
      <c r="B73" s="738"/>
      <c r="C73" s="238"/>
      <c r="D73" s="238"/>
      <c r="E73" s="757" t="s">
        <v>674</v>
      </c>
      <c r="F73" s="737"/>
      <c r="G73" s="673"/>
      <c r="H73" s="673"/>
      <c r="I73" s="245"/>
      <c r="J73" s="245"/>
      <c r="K73" s="735"/>
      <c r="L73" s="735"/>
      <c r="Z73" s="211" t="e">
        <f t="shared" si="62"/>
        <v>#DIV/0!</v>
      </c>
      <c r="AF73" s="211" t="e">
        <f t="shared" si="54"/>
        <v>#DIV/0!</v>
      </c>
    </row>
    <row r="74" spans="1:35">
      <c r="B74" s="287" t="s">
        <v>654</v>
      </c>
      <c r="D74" s="211">
        <f>300*3</f>
        <v>900</v>
      </c>
      <c r="E74" s="287">
        <v>12.1</v>
      </c>
      <c r="F74" s="211">
        <v>0.98747947989226692</v>
      </c>
      <c r="L74" s="739" t="s">
        <v>656</v>
      </c>
      <c r="O74" s="287" t="s">
        <v>657</v>
      </c>
      <c r="Q74" s="211">
        <f>300*2</f>
        <v>600</v>
      </c>
      <c r="X74" s="739"/>
    </row>
    <row r="75" spans="1:35">
      <c r="A75" s="249" t="s">
        <v>284</v>
      </c>
      <c r="B75" s="728" t="s">
        <v>181</v>
      </c>
      <c r="C75" s="728" t="s">
        <v>182</v>
      </c>
      <c r="D75" s="728" t="s">
        <v>214</v>
      </c>
      <c r="E75" s="728" t="s">
        <v>183</v>
      </c>
      <c r="F75" s="728" t="s">
        <v>184</v>
      </c>
      <c r="G75" s="728" t="s">
        <v>217</v>
      </c>
      <c r="H75" s="728" t="s">
        <v>185</v>
      </c>
      <c r="I75" s="728" t="s">
        <v>181</v>
      </c>
      <c r="J75" s="728" t="s">
        <v>186</v>
      </c>
      <c r="K75" s="249" t="s">
        <v>664</v>
      </c>
      <c r="L75" s="249" t="s">
        <v>655</v>
      </c>
      <c r="M75" s="238" t="s">
        <v>666</v>
      </c>
      <c r="N75" s="249" t="s">
        <v>284</v>
      </c>
      <c r="O75" s="728" t="s">
        <v>181</v>
      </c>
      <c r="P75" s="728" t="s">
        <v>182</v>
      </c>
      <c r="Q75" s="728" t="s">
        <v>214</v>
      </c>
      <c r="R75" s="728" t="s">
        <v>183</v>
      </c>
      <c r="S75" s="728" t="s">
        <v>184</v>
      </c>
      <c r="T75" s="728" t="s">
        <v>217</v>
      </c>
      <c r="U75" s="728" t="s">
        <v>185</v>
      </c>
      <c r="V75" s="728" t="s">
        <v>181</v>
      </c>
      <c r="W75" s="728" t="s">
        <v>186</v>
      </c>
      <c r="X75" s="249" t="s">
        <v>664</v>
      </c>
      <c r="Y75" s="249" t="s">
        <v>655</v>
      </c>
      <c r="Z75" s="249" t="s">
        <v>665</v>
      </c>
      <c r="AA75" s="249"/>
      <c r="AB75" s="283">
        <v>0.97</v>
      </c>
    </row>
    <row r="76" spans="1:35">
      <c r="A76" s="297">
        <f>D76*E76/1000</f>
        <v>6.2474999999999996</v>
      </c>
      <c r="B76" s="904">
        <v>80</v>
      </c>
      <c r="C76" s="728" t="s">
        <v>196</v>
      </c>
      <c r="D76" s="728">
        <v>525</v>
      </c>
      <c r="E76" s="295">
        <v>11.9</v>
      </c>
      <c r="F76" s="268">
        <f>F58</f>
        <v>818</v>
      </c>
      <c r="G76" s="251">
        <f>F76/(D76*E76/1000)</f>
        <v>130.93237294917969</v>
      </c>
      <c r="H76" s="251"/>
      <c r="I76" s="240">
        <v>83.799722237088446</v>
      </c>
      <c r="J76" s="240">
        <v>12.538394922879364</v>
      </c>
      <c r="K76" s="297">
        <v>12.105101570330227</v>
      </c>
      <c r="L76" s="253">
        <v>846.42924751221733</v>
      </c>
      <c r="M76" s="241">
        <v>93</v>
      </c>
      <c r="N76" s="297">
        <f>Q76*R76/1000</f>
        <v>12.46</v>
      </c>
      <c r="O76" s="910" t="s">
        <v>660</v>
      </c>
      <c r="P76" s="728" t="s">
        <v>659</v>
      </c>
      <c r="Q76" s="728">
        <v>350</v>
      </c>
      <c r="R76" s="240">
        <v>35.6</v>
      </c>
      <c r="S76" s="268">
        <f>ROUNDDOWN(Y76,0)</f>
        <v>1399</v>
      </c>
      <c r="T76" s="251">
        <f>S76/(Q76*R76/1000)</f>
        <v>112.27929373996788</v>
      </c>
      <c r="U76" s="251"/>
      <c r="V76" s="240">
        <v>94.419941297219637</v>
      </c>
      <c r="W76" s="240">
        <v>66.488432618196398</v>
      </c>
      <c r="X76" s="247">
        <v>35.633043660673003</v>
      </c>
      <c r="Y76" s="740">
        <v>1399.1432025709614</v>
      </c>
      <c r="Z76" s="249">
        <v>61</v>
      </c>
      <c r="AA76" s="741">
        <f>S76/$S$77</f>
        <v>1.0424739195230999</v>
      </c>
      <c r="AB76" s="743">
        <f>ROUNDDOWN(S46*$AB$75,0)</f>
        <v>1377</v>
      </c>
      <c r="AC76" s="298">
        <f>S76/AB76</f>
        <v>1.0159767610748003</v>
      </c>
    </row>
    <row r="77" spans="1:35">
      <c r="A77" s="297">
        <f t="shared" ref="A77:A86" si="75">D77*E77/1000</f>
        <v>6.2474999999999996</v>
      </c>
      <c r="B77" s="904"/>
      <c r="C77" s="728" t="s">
        <v>198</v>
      </c>
      <c r="D77" s="728">
        <v>525</v>
      </c>
      <c r="E77" s="295">
        <v>11.9</v>
      </c>
      <c r="F77" s="268">
        <f t="shared" ref="F77:F85" si="76">F59</f>
        <v>779</v>
      </c>
      <c r="G77" s="251">
        <f t="shared" ref="G77:G86" si="77">F77/(D77*E77/1000)</f>
        <v>124.68987595038016</v>
      </c>
      <c r="H77" s="251"/>
      <c r="I77" s="240">
        <v>83.555002439886636</v>
      </c>
      <c r="J77" s="240">
        <v>10.91065734536374</v>
      </c>
      <c r="K77" s="297">
        <v>12.081105241381145</v>
      </c>
      <c r="L77" s="253">
        <v>792.27313438674139</v>
      </c>
      <c r="M77" s="241">
        <v>147</v>
      </c>
      <c r="N77" s="297">
        <f t="shared" ref="N77:N78" si="78">Q77*R77/1000</f>
        <v>12.46</v>
      </c>
      <c r="O77" s="911"/>
      <c r="P77" s="728" t="s">
        <v>198</v>
      </c>
      <c r="Q77" s="728">
        <v>350</v>
      </c>
      <c r="R77" s="240">
        <v>35.6</v>
      </c>
      <c r="S77" s="268">
        <f>ROUNDDOWN(Y77,0)</f>
        <v>1342</v>
      </c>
      <c r="T77" s="251">
        <f t="shared" ref="T77:T78" si="79">S77/(Q77*R77/1000)</f>
        <v>107.70465489566612</v>
      </c>
      <c r="U77" s="251"/>
      <c r="V77" s="240">
        <v>94.541762560676631</v>
      </c>
      <c r="W77" s="240">
        <v>63.630510859714185</v>
      </c>
      <c r="X77" s="247">
        <v>35.618361760528231</v>
      </c>
      <c r="Y77" s="740">
        <v>1342.2982795038881</v>
      </c>
      <c r="Z77" s="249">
        <v>32</v>
      </c>
      <c r="AA77" s="741">
        <f t="shared" ref="AA77:AA78" si="80">S77/$S$77</f>
        <v>1</v>
      </c>
      <c r="AB77" s="743">
        <f>ROUNDDOWN(S47*$AB$75,0)</f>
        <v>1301</v>
      </c>
      <c r="AC77" s="298">
        <f t="shared" ref="AC77:AC78" si="81">S77/AB77</f>
        <v>1.0315142198308993</v>
      </c>
    </row>
    <row r="78" spans="1:35">
      <c r="A78" s="297">
        <f t="shared" si="75"/>
        <v>6.2474999999999996</v>
      </c>
      <c r="B78" s="904"/>
      <c r="C78" s="728" t="s">
        <v>200</v>
      </c>
      <c r="D78" s="728">
        <v>525</v>
      </c>
      <c r="E78" s="295">
        <v>11.9</v>
      </c>
      <c r="F78" s="268">
        <f t="shared" si="76"/>
        <v>745</v>
      </c>
      <c r="G78" s="251">
        <f t="shared" si="77"/>
        <v>119.24769907963186</v>
      </c>
      <c r="H78" s="251"/>
      <c r="I78" s="240">
        <v>83.555164241502723</v>
      </c>
      <c r="J78" s="240">
        <v>12.371248399386378</v>
      </c>
      <c r="K78" s="297">
        <v>12.081732367002985</v>
      </c>
      <c r="L78" s="253">
        <v>756.33254657880479</v>
      </c>
      <c r="M78" s="241">
        <v>89</v>
      </c>
      <c r="N78" s="297">
        <f t="shared" si="78"/>
        <v>12.46</v>
      </c>
      <c r="O78" s="912"/>
      <c r="P78" s="728" t="s">
        <v>200</v>
      </c>
      <c r="Q78" s="728">
        <v>350</v>
      </c>
      <c r="R78" s="240">
        <v>35.6</v>
      </c>
      <c r="S78" s="268">
        <f>ROUNDDOWN(Y78,0)</f>
        <v>1306</v>
      </c>
      <c r="T78" s="251">
        <f t="shared" si="79"/>
        <v>104.81540930979132</v>
      </c>
      <c r="U78" s="251"/>
      <c r="V78" s="240">
        <v>93.89305706138002</v>
      </c>
      <c r="W78" s="240">
        <v>61.508433393102656</v>
      </c>
      <c r="X78" s="247">
        <v>35.670336351533493</v>
      </c>
      <c r="Y78" s="740">
        <v>1306.3832993065705</v>
      </c>
      <c r="Z78" s="249">
        <v>56</v>
      </c>
      <c r="AA78" s="741">
        <f t="shared" si="80"/>
        <v>0.97317436661698953</v>
      </c>
      <c r="AB78" s="743">
        <f>ROUNDDOWN(S48*$AB$75,0)</f>
        <v>1208</v>
      </c>
      <c r="AC78" s="298">
        <f t="shared" si="81"/>
        <v>1.0811258278145695</v>
      </c>
    </row>
    <row r="79" spans="1:35">
      <c r="A79" s="297">
        <f t="shared" si="75"/>
        <v>6.2474999999999996</v>
      </c>
      <c r="B79" s="904">
        <v>90</v>
      </c>
      <c r="C79" s="728" t="s">
        <v>196</v>
      </c>
      <c r="D79" s="728">
        <v>525</v>
      </c>
      <c r="E79" s="295">
        <v>11.9</v>
      </c>
      <c r="F79" s="268">
        <f t="shared" si="76"/>
        <v>716</v>
      </c>
      <c r="G79" s="251">
        <f t="shared" si="77"/>
        <v>114.60584233693478</v>
      </c>
      <c r="H79" s="251"/>
      <c r="I79" s="240">
        <v>94.660841303220465</v>
      </c>
      <c r="J79" s="240">
        <v>67.788852712889749</v>
      </c>
      <c r="K79" s="297">
        <v>12.087149493488603</v>
      </c>
      <c r="L79" s="253">
        <v>724.49960386527573</v>
      </c>
      <c r="M79" s="241">
        <v>93</v>
      </c>
      <c r="Z79" s="249"/>
    </row>
    <row r="80" spans="1:35">
      <c r="A80" s="297">
        <f t="shared" si="75"/>
        <v>6.2474999999999996</v>
      </c>
      <c r="B80" s="904"/>
      <c r="C80" s="728" t="s">
        <v>198</v>
      </c>
      <c r="D80" s="728">
        <v>525</v>
      </c>
      <c r="E80" s="295">
        <v>11.9</v>
      </c>
      <c r="F80" s="268">
        <f t="shared" si="76"/>
        <v>660</v>
      </c>
      <c r="G80" s="251">
        <f t="shared" si="77"/>
        <v>105.6422569027611</v>
      </c>
      <c r="H80" s="251"/>
      <c r="I80" s="240">
        <v>94.708048795132555</v>
      </c>
      <c r="J80" s="240">
        <v>62.343526907245888</v>
      </c>
      <c r="K80" s="297">
        <v>12.090969396801718</v>
      </c>
      <c r="L80" s="253">
        <v>677.63251443927868</v>
      </c>
      <c r="M80" s="241">
        <v>141</v>
      </c>
      <c r="O80" s="287" t="s">
        <v>662</v>
      </c>
      <c r="Q80" s="211">
        <f>300*1</f>
        <v>300</v>
      </c>
      <c r="Y80" s="739"/>
      <c r="Z80" s="249"/>
      <c r="AE80" s="211" t="s">
        <v>667</v>
      </c>
    </row>
    <row r="81" spans="1:38">
      <c r="A81" s="297">
        <f t="shared" si="75"/>
        <v>6.2474999999999996</v>
      </c>
      <c r="B81" s="904"/>
      <c r="C81" s="728" t="s">
        <v>200</v>
      </c>
      <c r="D81" s="728">
        <v>525</v>
      </c>
      <c r="E81" s="295">
        <v>11.9</v>
      </c>
      <c r="F81" s="268">
        <f t="shared" si="76"/>
        <v>625</v>
      </c>
      <c r="G81" s="251">
        <f t="shared" si="77"/>
        <v>100.04001600640257</v>
      </c>
      <c r="H81" s="251"/>
      <c r="I81" s="240">
        <v>94.350661731097873</v>
      </c>
      <c r="J81" s="240">
        <v>59.895713112808515</v>
      </c>
      <c r="K81" s="297">
        <v>12.119336711205861</v>
      </c>
      <c r="L81" s="253">
        <v>645.13190344503755</v>
      </c>
      <c r="M81" s="241">
        <v>93</v>
      </c>
      <c r="N81" s="249" t="s">
        <v>284</v>
      </c>
      <c r="O81" s="728" t="s">
        <v>181</v>
      </c>
      <c r="P81" s="728" t="s">
        <v>182</v>
      </c>
      <c r="Q81" s="728" t="s">
        <v>214</v>
      </c>
      <c r="R81" s="728" t="s">
        <v>183</v>
      </c>
      <c r="S81" s="728" t="s">
        <v>184</v>
      </c>
      <c r="T81" s="728" t="s">
        <v>217</v>
      </c>
      <c r="U81" s="728" t="s">
        <v>185</v>
      </c>
      <c r="V81" s="728" t="s">
        <v>181</v>
      </c>
      <c r="W81" s="728" t="s">
        <v>186</v>
      </c>
      <c r="X81" s="249" t="s">
        <v>664</v>
      </c>
      <c r="Y81" s="249" t="s">
        <v>655</v>
      </c>
      <c r="Z81" s="249" t="s">
        <v>665</v>
      </c>
      <c r="AA81" s="249"/>
      <c r="AB81" s="283">
        <v>0.97</v>
      </c>
      <c r="AE81" s="249" t="s">
        <v>664</v>
      </c>
      <c r="AF81" s="249" t="s">
        <v>655</v>
      </c>
      <c r="AG81" s="249" t="s">
        <v>317</v>
      </c>
      <c r="AH81" s="249" t="s">
        <v>326</v>
      </c>
      <c r="AI81" s="249" t="s">
        <v>666</v>
      </c>
      <c r="AL81" s="244"/>
    </row>
    <row r="82" spans="1:38" ht="18.75" customHeight="1">
      <c r="A82" s="297">
        <f t="shared" si="75"/>
        <v>6.2474999999999996</v>
      </c>
      <c r="B82" s="904">
        <v>97</v>
      </c>
      <c r="C82" s="728" t="s">
        <v>196</v>
      </c>
      <c r="D82" s="728">
        <v>525</v>
      </c>
      <c r="E82" s="295">
        <v>11.9</v>
      </c>
      <c r="F82" s="268">
        <f t="shared" si="76"/>
        <v>660</v>
      </c>
      <c r="G82" s="251">
        <f t="shared" si="77"/>
        <v>105.6422569027611</v>
      </c>
      <c r="H82" s="251"/>
      <c r="I82" s="240">
        <v>98.036364162358382</v>
      </c>
      <c r="J82" s="240">
        <v>91.7226886570635</v>
      </c>
      <c r="K82" s="297">
        <v>12.110551607683668</v>
      </c>
      <c r="L82" s="253">
        <v>661.16681818209577</v>
      </c>
      <c r="M82" s="241">
        <v>31</v>
      </c>
      <c r="N82" s="297">
        <f>Q82*R82/1000</f>
        <v>5.2324999999999999</v>
      </c>
      <c r="O82" s="908" t="s">
        <v>660</v>
      </c>
      <c r="P82" s="728" t="s">
        <v>661</v>
      </c>
      <c r="Q82" s="728">
        <v>175</v>
      </c>
      <c r="R82" s="295">
        <v>29.9</v>
      </c>
      <c r="S82" s="268">
        <f>ROUNDDOWN(Y82,0)</f>
        <v>598</v>
      </c>
      <c r="T82" s="251">
        <f>S82/(Q82*R82/1000)</f>
        <v>114.28571428571429</v>
      </c>
      <c r="U82" s="251"/>
      <c r="V82" s="240">
        <v>95.11957762276424</v>
      </c>
      <c r="W82" s="240">
        <v>72.983864113503046</v>
      </c>
      <c r="X82" s="247">
        <v>30.028720702132485</v>
      </c>
      <c r="Y82" s="740">
        <v>598.16600861194934</v>
      </c>
      <c r="Z82" s="249">
        <v>32</v>
      </c>
      <c r="AA82" s="741">
        <f t="shared" ref="AA82:AA83" si="82">S82/$S$84</f>
        <v>1.0640569395017794</v>
      </c>
      <c r="AB82" s="742">
        <f>ROUNDDOWN(S82*$AB$81,0)</f>
        <v>580</v>
      </c>
      <c r="AC82" s="298">
        <f>S82/AB82</f>
        <v>1.0310344827586206</v>
      </c>
      <c r="AE82" s="247">
        <v>29.962632275132275</v>
      </c>
      <c r="AF82" s="247">
        <v>607.36618253968209</v>
      </c>
      <c r="AG82" s="247">
        <v>95.087460317460383</v>
      </c>
      <c r="AH82" s="247">
        <v>72.436164021164089</v>
      </c>
      <c r="AI82" s="249">
        <v>375</v>
      </c>
      <c r="AK82" s="298">
        <f>AF82/S82</f>
        <v>1.015662512608164</v>
      </c>
      <c r="AL82" s="298">
        <f>AF82/AB82</f>
        <v>1.0471830733442795</v>
      </c>
    </row>
    <row r="83" spans="1:38">
      <c r="A83" s="297">
        <f t="shared" si="75"/>
        <v>6.2474999999999996</v>
      </c>
      <c r="B83" s="904"/>
      <c r="C83" s="728" t="s">
        <v>198</v>
      </c>
      <c r="D83" s="728">
        <v>525</v>
      </c>
      <c r="E83" s="295">
        <v>11.9</v>
      </c>
      <c r="F83" s="268">
        <f t="shared" si="76"/>
        <v>586</v>
      </c>
      <c r="G83" s="251">
        <f t="shared" si="77"/>
        <v>93.797519007603043</v>
      </c>
      <c r="H83" s="251"/>
      <c r="I83" s="240">
        <v>98.594698772215736</v>
      </c>
      <c r="J83" s="240">
        <v>90.663865924950755</v>
      </c>
      <c r="K83" s="297">
        <v>12.115051201885182</v>
      </c>
      <c r="L83" s="253">
        <v>605.8241088487564</v>
      </c>
      <c r="M83" s="241">
        <v>90</v>
      </c>
      <c r="N83" s="297">
        <f t="shared" ref="N83:N85" si="83">Q83*R83/1000</f>
        <v>5.2324999999999999</v>
      </c>
      <c r="O83" s="909"/>
      <c r="P83" s="728" t="s">
        <v>659</v>
      </c>
      <c r="Q83" s="728">
        <v>175</v>
      </c>
      <c r="R83" s="295">
        <v>29.9</v>
      </c>
      <c r="S83" s="268">
        <f>ROUNDDOWN(Y83,0)</f>
        <v>582</v>
      </c>
      <c r="T83" s="251">
        <f t="shared" ref="T83:T84" si="84">S83/(Q83*R83/1000)</f>
        <v>111.22790253225035</v>
      </c>
      <c r="U83" s="251"/>
      <c r="V83" s="240">
        <v>94.917186884644252</v>
      </c>
      <c r="W83" s="240">
        <v>69.519232685755171</v>
      </c>
      <c r="X83" s="247">
        <v>29.978037515571152</v>
      </c>
      <c r="Y83" s="740">
        <v>582.59431852779824</v>
      </c>
      <c r="Z83" s="249">
        <v>32</v>
      </c>
      <c r="AA83" s="741">
        <f t="shared" si="82"/>
        <v>1.0355871886120998</v>
      </c>
      <c r="AB83" s="742">
        <f t="shared" ref="AB83:AB85" si="85">ROUNDDOWN(S83*$AB$81,0)</f>
        <v>564</v>
      </c>
      <c r="AC83" s="298">
        <f t="shared" ref="AC83:AC84" si="86">S83/AB83</f>
        <v>1.0319148936170213</v>
      </c>
      <c r="AE83" s="247">
        <v>30.077315926892961</v>
      </c>
      <c r="AF83" s="247">
        <v>592.93880156658008</v>
      </c>
      <c r="AG83" s="247">
        <v>94.990208877284459</v>
      </c>
      <c r="AH83" s="247">
        <v>69.752245430809396</v>
      </c>
      <c r="AI83" s="249">
        <v>379</v>
      </c>
      <c r="AK83" s="298">
        <f t="shared" ref="AK83:AK85" si="87">AF83/S83</f>
        <v>1.0187951916951548</v>
      </c>
      <c r="AL83" s="298">
        <f t="shared" ref="AL83:AL85" si="88">AF83/AB83</f>
        <v>1.0513099318556385</v>
      </c>
    </row>
    <row r="84" spans="1:38">
      <c r="A84" s="297">
        <f t="shared" si="75"/>
        <v>6.2474999999999996</v>
      </c>
      <c r="B84" s="904"/>
      <c r="C84" s="728" t="s">
        <v>200</v>
      </c>
      <c r="D84" s="728">
        <v>525</v>
      </c>
      <c r="E84" s="295">
        <v>11.9</v>
      </c>
      <c r="F84" s="268">
        <f t="shared" si="76"/>
        <v>562</v>
      </c>
      <c r="G84" s="251">
        <f t="shared" si="77"/>
        <v>89.955982392957182</v>
      </c>
      <c r="H84" s="251"/>
      <c r="I84" s="240">
        <v>97.151786723282783</v>
      </c>
      <c r="J84" s="240">
        <v>89.887174535729656</v>
      </c>
      <c r="K84" s="297">
        <v>12.138138553255613</v>
      </c>
      <c r="L84" s="253">
        <v>572.41425134135159</v>
      </c>
      <c r="M84" s="241">
        <v>93</v>
      </c>
      <c r="N84" s="297">
        <f t="shared" si="83"/>
        <v>5.2324999999999999</v>
      </c>
      <c r="O84" s="909"/>
      <c r="P84" s="728" t="s">
        <v>198</v>
      </c>
      <c r="Q84" s="728">
        <v>175</v>
      </c>
      <c r="R84" s="295">
        <v>29.9</v>
      </c>
      <c r="S84" s="268">
        <f>ROUNDDOWN(Y84,0)</f>
        <v>562</v>
      </c>
      <c r="T84" s="251">
        <f t="shared" si="84"/>
        <v>107.40563784042045</v>
      </c>
      <c r="U84" s="251"/>
      <c r="V84" s="240">
        <v>94.76277335616092</v>
      </c>
      <c r="W84" s="240">
        <v>65.088128029302666</v>
      </c>
      <c r="X84" s="247">
        <v>29.842485912523546</v>
      </c>
      <c r="Y84" s="740">
        <v>562.96928385372348</v>
      </c>
      <c r="Z84" s="249">
        <v>32</v>
      </c>
      <c r="AA84" s="741">
        <f>S84/$S$84</f>
        <v>1</v>
      </c>
      <c r="AB84" s="742">
        <f t="shared" si="85"/>
        <v>545</v>
      </c>
      <c r="AC84" s="298">
        <f t="shared" si="86"/>
        <v>1.0311926605504587</v>
      </c>
      <c r="AE84" s="247">
        <v>30.071804177545683</v>
      </c>
      <c r="AF84" s="247">
        <v>571.75437075718014</v>
      </c>
      <c r="AG84" s="247">
        <v>94.810652741514374</v>
      </c>
      <c r="AH84" s="247">
        <v>65.922793733681502</v>
      </c>
      <c r="AI84" s="249">
        <v>383</v>
      </c>
      <c r="AK84" s="298">
        <f t="shared" si="87"/>
        <v>1.0173565315964059</v>
      </c>
      <c r="AL84" s="298">
        <f t="shared" si="88"/>
        <v>1.0490905885452846</v>
      </c>
    </row>
    <row r="85" spans="1:38">
      <c r="A85" s="297">
        <f t="shared" si="75"/>
        <v>6.2474999999999996</v>
      </c>
      <c r="B85" s="249">
        <v>90</v>
      </c>
      <c r="C85" s="249" t="s">
        <v>609</v>
      </c>
      <c r="D85" s="249">
        <v>525</v>
      </c>
      <c r="E85" s="752">
        <v>11.9</v>
      </c>
      <c r="F85" s="742">
        <f t="shared" si="76"/>
        <v>707</v>
      </c>
      <c r="G85" s="211">
        <f t="shared" si="77"/>
        <v>113.16526610644259</v>
      </c>
      <c r="I85" s="744">
        <v>94.132076063479843</v>
      </c>
      <c r="J85" s="744">
        <v>63.472909696601853</v>
      </c>
      <c r="K85" s="297">
        <v>12.123533682085712</v>
      </c>
      <c r="L85" s="253">
        <v>709.91618814296544</v>
      </c>
      <c r="M85" s="241">
        <v>28</v>
      </c>
      <c r="N85" s="297">
        <f t="shared" si="83"/>
        <v>5.2324999999999999</v>
      </c>
      <c r="O85" s="909"/>
      <c r="P85" s="728" t="s">
        <v>200</v>
      </c>
      <c r="Q85" s="728">
        <v>175</v>
      </c>
      <c r="R85" s="295">
        <v>29.9</v>
      </c>
      <c r="S85" s="268">
        <f>ROUNDDOWN(Y85,0)</f>
        <v>535</v>
      </c>
      <c r="T85" s="251">
        <f t="shared" ref="T85" si="89">S85/(Q85*R85/1000)</f>
        <v>102.24558050645007</v>
      </c>
      <c r="U85" s="251"/>
      <c r="V85" s="240">
        <v>94.218737902217725</v>
      </c>
      <c r="W85" s="240">
        <v>65.212878272210958</v>
      </c>
      <c r="X85" s="247">
        <v>29.90829476727647</v>
      </c>
      <c r="Y85" s="247">
        <v>535.63467826027806</v>
      </c>
      <c r="Z85" s="249">
        <v>32</v>
      </c>
      <c r="AA85" s="741">
        <f t="shared" ref="AA85" si="90">S85/$S$84</f>
        <v>0.95195729537366547</v>
      </c>
      <c r="AB85" s="742">
        <f t="shared" si="85"/>
        <v>518</v>
      </c>
      <c r="AC85" s="298">
        <f>S85/AB85</f>
        <v>1.0328185328185329</v>
      </c>
      <c r="AE85" s="247">
        <v>29.993692708333352</v>
      </c>
      <c r="AF85" s="249">
        <v>544.8987806788507</v>
      </c>
      <c r="AG85" s="247">
        <v>94.251070496083528</v>
      </c>
      <c r="AH85" s="247">
        <v>66.124177545691921</v>
      </c>
      <c r="AI85" s="249">
        <v>364</v>
      </c>
      <c r="AK85" s="298">
        <f t="shared" si="87"/>
        <v>1.0185023937922444</v>
      </c>
      <c r="AL85" s="298">
        <f t="shared" si="88"/>
        <v>1.0519281480286693</v>
      </c>
    </row>
    <row r="86" spans="1:38">
      <c r="A86" s="297">
        <f t="shared" si="75"/>
        <v>6.2474999999999996</v>
      </c>
      <c r="B86" s="238">
        <v>80</v>
      </c>
      <c r="C86" s="238" t="s">
        <v>671</v>
      </c>
      <c r="D86" s="238">
        <v>525</v>
      </c>
      <c r="E86" s="753">
        <v>11.9</v>
      </c>
      <c r="F86" s="742">
        <f>F69</f>
        <v>799</v>
      </c>
      <c r="G86" s="735">
        <f t="shared" si="77"/>
        <v>127.89115646258504</v>
      </c>
      <c r="H86" s="735"/>
      <c r="I86" s="245">
        <v>84.16312397617537</v>
      </c>
      <c r="J86" s="245">
        <v>14.049054883739728</v>
      </c>
      <c r="K86" s="751">
        <v>12.046041740919126</v>
      </c>
      <c r="L86" s="754">
        <f>817.19869733226*$F$74</f>
        <v>806.96694461029824</v>
      </c>
      <c r="M86" s="249">
        <v>32</v>
      </c>
      <c r="Z86" s="249"/>
      <c r="AA86" s="741"/>
      <c r="AL86" s="298"/>
    </row>
    <row r="87" spans="1:38">
      <c r="A87" s="297">
        <f t="shared" ref="A87" si="91">D87*E87/1000</f>
        <v>6.2474999999999996</v>
      </c>
      <c r="B87" s="238">
        <v>97</v>
      </c>
      <c r="C87" s="238" t="s">
        <v>671</v>
      </c>
      <c r="D87" s="238">
        <v>525</v>
      </c>
      <c r="E87" s="753">
        <v>11.9</v>
      </c>
      <c r="F87" s="742">
        <f>F68</f>
        <v>629</v>
      </c>
      <c r="G87" s="735">
        <f t="shared" ref="G87" si="92">F87/(D87*E87/1000)</f>
        <v>100.68027210884354</v>
      </c>
      <c r="H87" s="735"/>
      <c r="I87" s="245">
        <v>98.479944231151109</v>
      </c>
      <c r="J87" s="245">
        <v>88.063362968545391</v>
      </c>
      <c r="K87" s="751">
        <v>12.046041740919126</v>
      </c>
      <c r="L87" s="754">
        <f>636.241138950385*$F$74</f>
        <v>628.27506897678973</v>
      </c>
      <c r="M87" s="249">
        <v>32</v>
      </c>
      <c r="O87" s="287" t="s">
        <v>658</v>
      </c>
      <c r="Q87" s="211">
        <f>300*1</f>
        <v>300</v>
      </c>
      <c r="Y87" s="739"/>
      <c r="Z87" s="249"/>
      <c r="AA87" s="741"/>
      <c r="AB87" s="244"/>
      <c r="AL87" s="298"/>
    </row>
    <row r="88" spans="1:38" ht="18.75" customHeight="1">
      <c r="B88" s="735"/>
      <c r="C88" s="735"/>
      <c r="D88" s="735"/>
      <c r="E88" s="735"/>
      <c r="F88" s="735"/>
      <c r="G88" s="735"/>
      <c r="H88" s="735"/>
      <c r="I88" s="735"/>
      <c r="J88" s="735"/>
      <c r="K88" s="735"/>
      <c r="L88" s="735"/>
      <c r="N88" s="249" t="s">
        <v>284</v>
      </c>
      <c r="O88" s="728" t="s">
        <v>181</v>
      </c>
      <c r="P88" s="728" t="s">
        <v>182</v>
      </c>
      <c r="Q88" s="728" t="s">
        <v>214</v>
      </c>
      <c r="R88" s="728" t="s">
        <v>183</v>
      </c>
      <c r="S88" s="728" t="s">
        <v>184</v>
      </c>
      <c r="T88" s="728" t="s">
        <v>217</v>
      </c>
      <c r="U88" s="728" t="s">
        <v>185</v>
      </c>
      <c r="V88" s="728" t="s">
        <v>181</v>
      </c>
      <c r="W88" s="728" t="s">
        <v>186</v>
      </c>
      <c r="X88" s="249" t="s">
        <v>664</v>
      </c>
      <c r="Y88" s="249" t="s">
        <v>655</v>
      </c>
      <c r="Z88" s="249" t="s">
        <v>665</v>
      </c>
      <c r="AA88" s="243"/>
      <c r="AB88" s="283">
        <v>0.97</v>
      </c>
      <c r="AE88" s="249" t="s">
        <v>664</v>
      </c>
      <c r="AF88" s="249" t="s">
        <v>655</v>
      </c>
      <c r="AG88" s="249" t="s">
        <v>317</v>
      </c>
      <c r="AH88" s="249" t="s">
        <v>326</v>
      </c>
      <c r="AI88" s="249" t="s">
        <v>666</v>
      </c>
      <c r="AL88" s="298"/>
    </row>
    <row r="89" spans="1:38">
      <c r="B89" s="735"/>
      <c r="C89" s="735"/>
      <c r="D89" s="735"/>
      <c r="E89" s="735"/>
      <c r="F89" s="735"/>
      <c r="G89" s="735"/>
      <c r="H89" s="735"/>
      <c r="I89" s="735"/>
      <c r="J89" s="735"/>
      <c r="K89" s="735"/>
      <c r="L89" s="735"/>
      <c r="N89" s="297">
        <f>Q89*R89/1000</f>
        <v>6.23</v>
      </c>
      <c r="O89" s="908" t="s">
        <v>660</v>
      </c>
      <c r="P89" s="728" t="s">
        <v>661</v>
      </c>
      <c r="Q89" s="728">
        <v>175</v>
      </c>
      <c r="R89" s="240">
        <v>35.6</v>
      </c>
      <c r="S89" s="268">
        <f>ROUNDDOWN(Y89,0)</f>
        <v>708</v>
      </c>
      <c r="T89" s="251">
        <f>S89/(Q89*R89/1000)</f>
        <v>113.64365971107543</v>
      </c>
      <c r="U89" s="251"/>
      <c r="V89" s="240">
        <v>94.643446685900415</v>
      </c>
      <c r="W89" s="240">
        <v>70.538201174214635</v>
      </c>
      <c r="X89" s="247">
        <v>35.681847058958056</v>
      </c>
      <c r="Y89" s="247">
        <v>708.75095929318059</v>
      </c>
      <c r="Z89" s="249">
        <v>32</v>
      </c>
      <c r="AA89" s="741">
        <f t="shared" ref="AA89:AA90" si="93">S89/$S$91</f>
        <v>1.0646616541353384</v>
      </c>
      <c r="AB89" s="742">
        <f>ROUNDDOWN(F61*$AB$88,0)</f>
        <v>694</v>
      </c>
      <c r="AC89" s="298">
        <f>S89/AB89</f>
        <v>1.0201729106628241</v>
      </c>
      <c r="AE89" s="247">
        <v>35.391662303664894</v>
      </c>
      <c r="AF89" s="247">
        <v>716.04906020942371</v>
      </c>
      <c r="AG89" s="247">
        <v>94.742984293193672</v>
      </c>
      <c r="AH89" s="247">
        <v>70.967696335078557</v>
      </c>
      <c r="AI89" s="249">
        <v>378</v>
      </c>
      <c r="AK89" s="298">
        <f>AF89/S89</f>
        <v>1.0113687291093556</v>
      </c>
      <c r="AL89" s="298">
        <f>AF89/AB89</f>
        <v>1.0317709801288526</v>
      </c>
    </row>
    <row r="90" spans="1:38">
      <c r="N90" s="297">
        <f t="shared" ref="N90:N92" si="94">Q90*R90/1000</f>
        <v>6.23</v>
      </c>
      <c r="O90" s="909"/>
      <c r="P90" s="728" t="s">
        <v>659</v>
      </c>
      <c r="Q90" s="728">
        <v>175</v>
      </c>
      <c r="R90" s="240">
        <v>35.6</v>
      </c>
      <c r="S90" s="268">
        <f>ROUNDDOWN(Y90,0)</f>
        <v>694</v>
      </c>
      <c r="T90" s="251">
        <f t="shared" ref="T90:T92" si="95">S90/(Q90*R90/1000)</f>
        <v>111.39646869983947</v>
      </c>
      <c r="U90" s="251"/>
      <c r="V90" s="240">
        <v>94.534537362826825</v>
      </c>
      <c r="W90" s="240">
        <v>67.141053249599594</v>
      </c>
      <c r="X90" s="247">
        <v>35.853680473055547</v>
      </c>
      <c r="Y90" s="247">
        <v>694.58834846882291</v>
      </c>
      <c r="Z90" s="249">
        <v>32</v>
      </c>
      <c r="AA90" s="741">
        <f t="shared" si="93"/>
        <v>1.043609022556391</v>
      </c>
      <c r="AB90" s="742">
        <f>ROUNDDOWN(F67*$AB$88,0)</f>
        <v>685</v>
      </c>
      <c r="AC90" s="298">
        <f t="shared" ref="AC90:AC91" si="96">S90/AB90</f>
        <v>1.0131386861313869</v>
      </c>
      <c r="AE90" s="247">
        <v>35.385348284960443</v>
      </c>
      <c r="AF90" s="247">
        <v>697.03075989445881</v>
      </c>
      <c r="AG90" s="247">
        <v>94.577414248021171</v>
      </c>
      <c r="AH90" s="247">
        <v>67.60941952506596</v>
      </c>
      <c r="AI90" s="249">
        <v>379</v>
      </c>
      <c r="AK90" s="298">
        <f t="shared" ref="AK90:AK92" si="97">AF90/S90</f>
        <v>1.0043670891850991</v>
      </c>
      <c r="AL90" s="298">
        <f t="shared" ref="AL90:AL92" si="98">AF90/AB90</f>
        <v>1.0175631531305969</v>
      </c>
    </row>
    <row r="91" spans="1:38">
      <c r="N91" s="297">
        <f t="shared" si="94"/>
        <v>6.23</v>
      </c>
      <c r="O91" s="909"/>
      <c r="P91" s="728" t="s">
        <v>198</v>
      </c>
      <c r="Q91" s="728">
        <v>175</v>
      </c>
      <c r="R91" s="240">
        <v>35.6</v>
      </c>
      <c r="S91" s="268">
        <f>ROUNDDOWN(Y91,0)</f>
        <v>665</v>
      </c>
      <c r="T91" s="251">
        <f t="shared" si="95"/>
        <v>106.74157303370785</v>
      </c>
      <c r="U91" s="251"/>
      <c r="V91" s="240">
        <v>94.604621844079162</v>
      </c>
      <c r="W91" s="240">
        <v>64.129796181326967</v>
      </c>
      <c r="X91" s="247">
        <v>35.749489128477705</v>
      </c>
      <c r="Y91" s="247">
        <v>665.99340855867945</v>
      </c>
      <c r="Z91" s="249">
        <v>32</v>
      </c>
      <c r="AA91" s="741">
        <f>S91/$S$91</f>
        <v>1</v>
      </c>
      <c r="AB91" s="742">
        <f>ROUNDDOWN(F62*$AB$88,0)</f>
        <v>640</v>
      </c>
      <c r="AC91" s="298">
        <f t="shared" si="96"/>
        <v>1.0390625</v>
      </c>
      <c r="AE91" s="247">
        <v>35.289506925207732</v>
      </c>
      <c r="AF91" s="247">
        <v>669.60242659279811</v>
      </c>
      <c r="AG91" s="247">
        <v>94.635927977839359</v>
      </c>
      <c r="AH91" s="247">
        <v>64.319612188365625</v>
      </c>
      <c r="AI91" s="249">
        <v>361</v>
      </c>
      <c r="AK91" s="298">
        <f t="shared" si="97"/>
        <v>1.0069209422448091</v>
      </c>
      <c r="AL91" s="298">
        <f t="shared" si="98"/>
        <v>1.0462537915512471</v>
      </c>
    </row>
    <row r="92" spans="1:38">
      <c r="N92" s="297">
        <f t="shared" si="94"/>
        <v>6.23</v>
      </c>
      <c r="O92" s="909"/>
      <c r="P92" s="728" t="s">
        <v>200</v>
      </c>
      <c r="Q92" s="728">
        <v>175</v>
      </c>
      <c r="R92" s="240">
        <v>35.6</v>
      </c>
      <c r="S92" s="268">
        <f>ROUNDDOWN(Y92,0)</f>
        <v>628</v>
      </c>
      <c r="T92" s="251">
        <f t="shared" si="95"/>
        <v>100.80256821829855</v>
      </c>
      <c r="U92" s="251"/>
      <c r="V92" s="240">
        <v>94.229099587297071</v>
      </c>
      <c r="W92" s="240">
        <v>64.320864416068218</v>
      </c>
      <c r="X92" s="247">
        <v>35.871635037700457</v>
      </c>
      <c r="Y92" s="247">
        <v>628.99736387668781</v>
      </c>
      <c r="Z92" s="249">
        <v>32</v>
      </c>
      <c r="AA92" s="741">
        <f t="shared" ref="AA92" si="99">S92/$S$91</f>
        <v>0.94436090225563907</v>
      </c>
      <c r="AB92" s="742">
        <f>ROUNDDOWN(F63*$AB$88,0)</f>
        <v>606</v>
      </c>
      <c r="AC92" s="298">
        <f>S92/AB92</f>
        <v>1.0363036303630364</v>
      </c>
      <c r="AE92" s="247">
        <v>35.48004000000001</v>
      </c>
      <c r="AF92" s="247">
        <v>637.00978016085776</v>
      </c>
      <c r="AG92" s="247">
        <v>94.221769436997363</v>
      </c>
      <c r="AH92" s="247">
        <v>64.927479892761355</v>
      </c>
      <c r="AI92" s="249">
        <v>352</v>
      </c>
      <c r="AK92" s="298">
        <f t="shared" si="97"/>
        <v>1.0143467836956335</v>
      </c>
      <c r="AL92" s="298">
        <f t="shared" si="98"/>
        <v>1.0511712543908545</v>
      </c>
    </row>
    <row r="93" spans="1:38">
      <c r="Z93" s="249"/>
      <c r="AA93" s="741"/>
      <c r="AL93" s="298"/>
    </row>
    <row r="94" spans="1:38">
      <c r="O94" s="287" t="s">
        <v>663</v>
      </c>
      <c r="Q94" s="211">
        <f>300*4</f>
        <v>1200</v>
      </c>
      <c r="Y94" s="739"/>
      <c r="Z94" s="249"/>
      <c r="AA94" s="741"/>
      <c r="AL94" s="298"/>
    </row>
    <row r="95" spans="1:38">
      <c r="N95" s="249" t="s">
        <v>284</v>
      </c>
      <c r="O95" s="728" t="s">
        <v>181</v>
      </c>
      <c r="P95" s="728" t="s">
        <v>182</v>
      </c>
      <c r="Q95" s="728" t="s">
        <v>214</v>
      </c>
      <c r="R95" s="728" t="s">
        <v>183</v>
      </c>
      <c r="S95" s="728" t="s">
        <v>184</v>
      </c>
      <c r="T95" s="728" t="s">
        <v>217</v>
      </c>
      <c r="U95" s="728" t="s">
        <v>185</v>
      </c>
      <c r="V95" s="728" t="s">
        <v>181</v>
      </c>
      <c r="W95" s="728" t="s">
        <v>186</v>
      </c>
      <c r="X95" s="249" t="s">
        <v>664</v>
      </c>
      <c r="Y95" s="249" t="s">
        <v>655</v>
      </c>
      <c r="Z95" s="249" t="s">
        <v>665</v>
      </c>
      <c r="AA95" s="243"/>
      <c r="AB95" s="283">
        <v>0.97</v>
      </c>
      <c r="AE95" s="249" t="s">
        <v>664</v>
      </c>
      <c r="AF95" s="249" t="s">
        <v>655</v>
      </c>
      <c r="AG95" s="249" t="s">
        <v>317</v>
      </c>
      <c r="AH95" s="249" t="s">
        <v>326</v>
      </c>
      <c r="AI95" s="249" t="s">
        <v>666</v>
      </c>
      <c r="AL95" s="298"/>
    </row>
    <row r="96" spans="1:38">
      <c r="N96" s="297">
        <f>Q96*R96/1000</f>
        <v>24.92</v>
      </c>
      <c r="O96" s="908" t="s">
        <v>660</v>
      </c>
      <c r="P96" s="728" t="s">
        <v>661</v>
      </c>
      <c r="Q96" s="728">
        <v>700</v>
      </c>
      <c r="R96" s="240">
        <v>35.6</v>
      </c>
      <c r="S96" s="268">
        <f>ROUNDDOWN(Y96,0)</f>
        <v>2859</v>
      </c>
      <c r="T96" s="251">
        <f>S96/(Q96*R96/1000)</f>
        <v>114.72712680577848</v>
      </c>
      <c r="U96" s="251"/>
      <c r="V96" s="240">
        <v>94.579461208508533</v>
      </c>
      <c r="W96" s="240">
        <v>69.508529531437588</v>
      </c>
      <c r="X96" s="247">
        <v>35.854099067165542</v>
      </c>
      <c r="Y96" s="740">
        <v>2859.2515511138763</v>
      </c>
      <c r="Z96" s="249">
        <v>15</v>
      </c>
      <c r="AA96" s="741">
        <f t="shared" ref="AA96:AA97" si="100">S96/$S$98</f>
        <v>1.0675877520537715</v>
      </c>
      <c r="AB96" s="742">
        <f>ROUNDDOWN(S64*$AB$95,0)</f>
        <v>2832</v>
      </c>
      <c r="AC96" s="298">
        <f>S96/AB96</f>
        <v>1.0095338983050848</v>
      </c>
      <c r="AE96" s="247">
        <v>35.684640483383667</v>
      </c>
      <c r="AF96" s="247">
        <v>2881.3019666666664</v>
      </c>
      <c r="AG96" s="247">
        <v>94.504606060606022</v>
      </c>
      <c r="AH96" s="247">
        <v>69.45803030303027</v>
      </c>
      <c r="AI96" s="249">
        <v>331</v>
      </c>
      <c r="AK96" s="298">
        <f>AF96/S96</f>
        <v>1.0078006179316776</v>
      </c>
      <c r="AL96" s="298">
        <f>AF96/AB96</f>
        <v>1.0174088865348399</v>
      </c>
    </row>
    <row r="97" spans="14:38">
      <c r="N97" s="297">
        <f t="shared" ref="N97:N99" si="101">Q97*R97/1000</f>
        <v>24.92</v>
      </c>
      <c r="O97" s="909"/>
      <c r="P97" s="728" t="s">
        <v>659</v>
      </c>
      <c r="Q97" s="728">
        <v>700</v>
      </c>
      <c r="R97" s="240">
        <v>35.6</v>
      </c>
      <c r="S97" s="268">
        <f>ROUNDDOWN(Y97,0)</f>
        <v>2759</v>
      </c>
      <c r="T97" s="251">
        <f t="shared" ref="T97:T99" si="102">S97/(Q97*R97/1000)</f>
        <v>110.71428571428571</v>
      </c>
      <c r="U97" s="251"/>
      <c r="V97" s="240">
        <v>94.853983435948393</v>
      </c>
      <c r="W97" s="240">
        <v>66.785728590703997</v>
      </c>
      <c r="X97" s="247">
        <v>35.674675413243904</v>
      </c>
      <c r="Y97" s="740">
        <v>2759.3065021611383</v>
      </c>
      <c r="Z97" s="249">
        <v>15</v>
      </c>
      <c r="AA97" s="741">
        <f t="shared" si="100"/>
        <v>1.0302464525765496</v>
      </c>
      <c r="AB97" s="742">
        <f t="shared" ref="AB97:AB99" si="103">ROUNDDOWN(S65*$AB$95,0)</f>
        <v>2792</v>
      </c>
      <c r="AC97" s="298">
        <f t="shared" ref="AC97:AC99" si="104">S97/AB97</f>
        <v>0.98818051575931232</v>
      </c>
      <c r="AE97" s="247">
        <v>35.657656534954384</v>
      </c>
      <c r="AF97" s="247">
        <v>2808.7486382978736</v>
      </c>
      <c r="AG97" s="247">
        <v>94.671884498480267</v>
      </c>
      <c r="AH97" s="247">
        <v>66.880486322188432</v>
      </c>
      <c r="AI97" s="249">
        <v>327</v>
      </c>
      <c r="AK97" s="298">
        <f t="shared" ref="AK97:AK99" si="105">AF97/S97</f>
        <v>1.0180314020651953</v>
      </c>
      <c r="AL97" s="298">
        <f t="shared" ref="AL97:AL99" si="106">AF97/AB97</f>
        <v>1.0059987959519605</v>
      </c>
    </row>
    <row r="98" spans="14:38">
      <c r="N98" s="297">
        <f t="shared" si="101"/>
        <v>24.92</v>
      </c>
      <c r="O98" s="909"/>
      <c r="P98" s="728" t="s">
        <v>198</v>
      </c>
      <c r="Q98" s="728">
        <v>700</v>
      </c>
      <c r="R98" s="240">
        <v>35.6</v>
      </c>
      <c r="S98" s="268">
        <f>ROUNDDOWN(Y98,0)</f>
        <v>2678</v>
      </c>
      <c r="T98" s="251">
        <f t="shared" si="102"/>
        <v>107.46388443017656</v>
      </c>
      <c r="U98" s="251"/>
      <c r="V98" s="240">
        <v>94.698951859053693</v>
      </c>
      <c r="W98" s="240">
        <v>64.493891683458614</v>
      </c>
      <c r="X98" s="247">
        <v>35.848819983995298</v>
      </c>
      <c r="Y98" s="740">
        <v>2678.4357250291991</v>
      </c>
      <c r="Z98" s="249">
        <v>15</v>
      </c>
      <c r="AA98" s="741">
        <f>S98/$S$98</f>
        <v>1</v>
      </c>
      <c r="AB98" s="742">
        <f t="shared" si="103"/>
        <v>2646</v>
      </c>
      <c r="AC98" s="298">
        <f t="shared" si="104"/>
        <v>1.0120937263794407</v>
      </c>
      <c r="AE98" s="247">
        <v>36.070576219512205</v>
      </c>
      <c r="AF98" s="247">
        <v>2736.0397331288341</v>
      </c>
      <c r="AG98" s="247">
        <v>94.783220858895731</v>
      </c>
      <c r="AH98" s="247">
        <v>64.658067484662638</v>
      </c>
      <c r="AI98" s="249">
        <v>326</v>
      </c>
      <c r="AK98" s="298">
        <f t="shared" si="105"/>
        <v>1.0216727905634182</v>
      </c>
      <c r="AL98" s="298">
        <f t="shared" si="106"/>
        <v>1.0340286217418118</v>
      </c>
    </row>
    <row r="99" spans="14:38">
      <c r="N99" s="297">
        <f t="shared" si="101"/>
        <v>24.92</v>
      </c>
      <c r="O99" s="909"/>
      <c r="P99" s="728" t="s">
        <v>200</v>
      </c>
      <c r="Q99" s="728">
        <v>700</v>
      </c>
      <c r="R99" s="240">
        <v>35.6</v>
      </c>
      <c r="S99" s="268">
        <f>ROUNDDOWN(Y99,0)</f>
        <v>2498</v>
      </c>
      <c r="T99" s="251">
        <f t="shared" si="102"/>
        <v>100.24077046548956</v>
      </c>
      <c r="U99" s="251"/>
      <c r="V99" s="240">
        <v>94.136639592025773</v>
      </c>
      <c r="W99" s="240">
        <v>63.028244637035883</v>
      </c>
      <c r="X99" s="247">
        <v>35.553582369660035</v>
      </c>
      <c r="Y99" s="247">
        <v>2498.7221232797233</v>
      </c>
      <c r="Z99" s="249">
        <v>15</v>
      </c>
      <c r="AA99" s="741">
        <f t="shared" ref="AA99" si="107">S99/$S$98</f>
        <v>0.93278566094100079</v>
      </c>
      <c r="AB99" s="742">
        <f t="shared" si="103"/>
        <v>2483</v>
      </c>
      <c r="AC99" s="298">
        <f t="shared" si="104"/>
        <v>1.0060410793395087</v>
      </c>
      <c r="AE99" s="247">
        <v>35.939932926829314</v>
      </c>
      <c r="AF99" s="249">
        <v>2565.1966128048775</v>
      </c>
      <c r="AG99" s="247">
        <v>94.011890243902528</v>
      </c>
      <c r="AH99" s="247">
        <v>63.956006097561016</v>
      </c>
      <c r="AI99" s="249">
        <v>327</v>
      </c>
      <c r="AK99" s="298">
        <f t="shared" si="105"/>
        <v>1.0269001652541543</v>
      </c>
      <c r="AL99" s="298">
        <f t="shared" si="106"/>
        <v>1.0331037506262093</v>
      </c>
    </row>
  </sheetData>
  <sheetProtection password="A7EA" sheet="1" objects="1" scenarios="1"/>
  <mergeCells count="34">
    <mergeCell ref="O82:O85"/>
    <mergeCell ref="O89:O92"/>
    <mergeCell ref="O96:O99"/>
    <mergeCell ref="O76:O78"/>
    <mergeCell ref="B79:B81"/>
    <mergeCell ref="B82:B84"/>
    <mergeCell ref="AB41:AB43"/>
    <mergeCell ref="B44:B46"/>
    <mergeCell ref="AB44:AB46"/>
    <mergeCell ref="B22:B24"/>
    <mergeCell ref="M22:M26"/>
    <mergeCell ref="B25:B27"/>
    <mergeCell ref="M27:M32"/>
    <mergeCell ref="B28:B30"/>
    <mergeCell ref="M33:M35"/>
    <mergeCell ref="B41:B43"/>
    <mergeCell ref="AB47:AB49"/>
    <mergeCell ref="B58:B60"/>
    <mergeCell ref="O58:O62"/>
    <mergeCell ref="B61:B63"/>
    <mergeCell ref="O63:O68"/>
    <mergeCell ref="B64:B66"/>
    <mergeCell ref="B47:B49"/>
    <mergeCell ref="B5:B7"/>
    <mergeCell ref="B8:B10"/>
    <mergeCell ref="B11:B13"/>
    <mergeCell ref="B76:B78"/>
    <mergeCell ref="O69:O71"/>
    <mergeCell ref="M5:M8"/>
    <mergeCell ref="M9:M12"/>
    <mergeCell ref="M13:M15"/>
    <mergeCell ref="O41:O44"/>
    <mergeCell ref="O45:O48"/>
    <mergeCell ref="O49:O51"/>
  </mergeCells>
  <phoneticPr fontId="7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</vt:i4>
      </vt:variant>
    </vt:vector>
  </HeadingPairs>
  <TitlesOfParts>
    <vt:vector size="22" baseType="lpstr">
      <vt:lpstr>データ貼り付け</vt:lpstr>
      <vt:lpstr>IF特性</vt:lpstr>
      <vt:lpstr>Tc特性</vt:lpstr>
      <vt:lpstr>スペ</vt:lpstr>
      <vt:lpstr>座標</vt:lpstr>
      <vt:lpstr>Selector</vt:lpstr>
      <vt:lpstr>Calculation</vt:lpstr>
      <vt:lpstr>Tcスペック算出</vt:lpstr>
      <vt:lpstr>熱抵抗</vt:lpstr>
      <vt:lpstr>代表特性(C4)</vt:lpstr>
      <vt:lpstr>代表特性(C9)_元データ</vt:lpstr>
      <vt:lpstr>代表特性(C9)</vt:lpstr>
      <vt:lpstr>最大定格 (DR2)</vt:lpstr>
      <vt:lpstr>最大定格(信頼性)</vt:lpstr>
      <vt:lpstr>最大定格(信頼性) (2)</vt:lpstr>
      <vt:lpstr>最大定格(信頼性) (3)</vt:lpstr>
      <vt:lpstr>初期全光束(Tj=85℃)</vt:lpstr>
      <vt:lpstr>初期全光束(Tj=85℃)_1015更新</vt:lpstr>
      <vt:lpstr>初期全光束(Tj=85℃)_1105更新</vt:lpstr>
      <vt:lpstr>初期全光束(Tj=85℃)_0306更新</vt:lpstr>
      <vt:lpstr>Calculation!Print_Area</vt:lpstr>
      <vt:lpstr>Selector!Print_Area</vt:lpstr>
    </vt:vector>
  </TitlesOfParts>
  <Company>CITIZEN ELECTRONICS CO.,LTD.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CITILED Lighting LED Selection Simulator</dc:title>
  <dc:creator>貴家 健次</dc:creator>
  <cp:lastModifiedBy>大森 威</cp:lastModifiedBy>
  <cp:lastPrinted>2014-05-01T10:43:19Z</cp:lastPrinted>
  <dcterms:created xsi:type="dcterms:W3CDTF">2011-08-25T00:09:33Z</dcterms:created>
  <dcterms:modified xsi:type="dcterms:W3CDTF">2020-02-04T02:54:29Z</dcterms:modified>
</cp:coreProperties>
</file>