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Objects="placeholders" codeName="ThisWorkbook"/>
  <workbookProtection workbookPassword="C071" lockStructure="1"/>
  <bookViews>
    <workbookView xWindow="120" yWindow="105" windowWidth="15600" windowHeight="8925"/>
  </bookViews>
  <sheets>
    <sheet name="Simulator" sheetId="1" r:id="rId1"/>
    <sheet name="Calculation" sheetId="348" state="hidden" r:id="rId2"/>
  </sheets>
  <definedNames>
    <definedName name="_xlnm.Print_Area" localSheetId="1">Calculation!$A$1:$AD$177</definedName>
    <definedName name="_xlnm.Print_Area" localSheetId="0">Simulator!$A$1:$O$25</definedName>
  </definedNames>
  <calcPr calcId="145621"/>
</workbook>
</file>

<file path=xl/calcChain.xml><?xml version="1.0" encoding="utf-8"?>
<calcChain xmlns="http://schemas.openxmlformats.org/spreadsheetml/2006/main">
  <c r="H6" i="1" l="1"/>
  <c r="C2" i="348" l="1"/>
  <c r="L108" i="348" l="1"/>
  <c r="Z84" i="348"/>
  <c r="Z85" i="348"/>
  <c r="Z86" i="348"/>
  <c r="Z87" i="348"/>
  <c r="Z88" i="348"/>
  <c r="Z83" i="348"/>
  <c r="D141" i="348" l="1"/>
  <c r="D143" i="348"/>
  <c r="D145" i="348"/>
  <c r="L165" i="348" l="1"/>
  <c r="V94" i="348" l="1"/>
  <c r="V95" i="348"/>
  <c r="V89" i="348" l="1"/>
  <c r="V90" i="348"/>
  <c r="V91" i="348"/>
  <c r="V92" i="348"/>
  <c r="V93" i="348"/>
  <c r="J108" i="348" l="1"/>
  <c r="O67" i="348" l="1"/>
  <c r="L67" i="348"/>
  <c r="L124" i="348" s="1"/>
  <c r="M67" i="348"/>
  <c r="M124" i="348" s="1"/>
  <c r="N67" i="348"/>
  <c r="N124" i="348" s="1"/>
  <c r="Y76" i="348"/>
  <c r="Z76" i="348"/>
  <c r="AA76" i="348"/>
  <c r="Y77" i="348"/>
  <c r="Z77" i="348"/>
  <c r="AA77" i="348"/>
  <c r="Y78" i="348"/>
  <c r="Z78" i="348"/>
  <c r="AA78" i="348"/>
  <c r="Y79" i="348"/>
  <c r="Z79" i="348"/>
  <c r="AA79" i="348"/>
  <c r="Y71" i="348"/>
  <c r="Z71" i="348"/>
  <c r="AA71" i="348"/>
  <c r="Y67" i="348"/>
  <c r="Z67" i="348"/>
  <c r="AA67" i="348"/>
  <c r="Y68" i="348"/>
  <c r="Z68" i="348"/>
  <c r="AA68" i="348"/>
  <c r="Y69" i="348"/>
  <c r="Z69" i="348"/>
  <c r="AA69" i="348"/>
  <c r="AB77" i="348"/>
  <c r="AC77" i="348"/>
  <c r="AD77" i="348"/>
  <c r="AB78" i="348"/>
  <c r="AC78" i="348"/>
  <c r="AD78" i="348"/>
  <c r="AB79" i="348"/>
  <c r="AC79" i="348"/>
  <c r="AD79" i="348"/>
  <c r="AB67" i="348"/>
  <c r="AC67" i="348"/>
  <c r="AD67" i="348"/>
  <c r="L109" i="348" l="1"/>
  <c r="L110" i="348"/>
  <c r="L111" i="348"/>
  <c r="L113" i="348"/>
  <c r="L170" i="348" s="1"/>
  <c r="L112" i="348"/>
  <c r="AD76" i="348"/>
  <c r="AD133" i="348" s="1"/>
  <c r="AC76" i="348"/>
  <c r="AC133" i="348" s="1"/>
  <c r="AB76" i="348"/>
  <c r="AB133" i="348" s="1"/>
  <c r="AD75" i="348"/>
  <c r="AD132" i="348" s="1"/>
  <c r="AC75" i="348"/>
  <c r="AC132" i="348" s="1"/>
  <c r="AB75" i="348"/>
  <c r="AB132" i="348" s="1"/>
  <c r="AD74" i="348"/>
  <c r="AD131" i="348" s="1"/>
  <c r="AC74" i="348"/>
  <c r="AC131" i="348" s="1"/>
  <c r="AB74" i="348"/>
  <c r="AB131" i="348" s="1"/>
  <c r="AD73" i="348"/>
  <c r="AD130" i="348" s="1"/>
  <c r="AC73" i="348"/>
  <c r="AC130" i="348" s="1"/>
  <c r="AB73" i="348"/>
  <c r="AB130" i="348" s="1"/>
  <c r="AD72" i="348"/>
  <c r="AD129" i="348" s="1"/>
  <c r="AC72" i="348"/>
  <c r="AC129" i="348" s="1"/>
  <c r="AB72" i="348"/>
  <c r="AB129" i="348" s="1"/>
  <c r="AD71" i="348"/>
  <c r="AD128" i="348" s="1"/>
  <c r="AC71" i="348"/>
  <c r="AC128" i="348" s="1"/>
  <c r="AB71" i="348"/>
  <c r="AB128" i="348" s="1"/>
  <c r="AD70" i="348"/>
  <c r="AD127" i="348" s="1"/>
  <c r="AC70" i="348"/>
  <c r="AC127" i="348" s="1"/>
  <c r="AB70" i="348"/>
  <c r="AB127" i="348" s="1"/>
  <c r="AD69" i="348"/>
  <c r="AD126" i="348" s="1"/>
  <c r="AC69" i="348"/>
  <c r="AC126" i="348" s="1"/>
  <c r="AB69" i="348"/>
  <c r="AB126" i="348" s="1"/>
  <c r="AD68" i="348"/>
  <c r="AD125" i="348" s="1"/>
  <c r="AC68" i="348"/>
  <c r="AC125" i="348" s="1"/>
  <c r="AB68" i="348"/>
  <c r="AB125" i="348" s="1"/>
  <c r="AA75" i="348"/>
  <c r="AA132" i="348" s="1"/>
  <c r="Z75" i="348"/>
  <c r="Z132" i="348" s="1"/>
  <c r="Y75" i="348"/>
  <c r="Y132" i="348" s="1"/>
  <c r="AA74" i="348"/>
  <c r="AA131" i="348" s="1"/>
  <c r="Z74" i="348"/>
  <c r="Z131" i="348" s="1"/>
  <c r="Y74" i="348"/>
  <c r="Y131" i="348" s="1"/>
  <c r="AA73" i="348"/>
  <c r="AA130" i="348" s="1"/>
  <c r="Z73" i="348"/>
  <c r="Z130" i="348" s="1"/>
  <c r="Y73" i="348"/>
  <c r="Y130" i="348" s="1"/>
  <c r="AA72" i="348"/>
  <c r="AA129" i="348" s="1"/>
  <c r="Z72" i="348"/>
  <c r="Z129" i="348" s="1"/>
  <c r="Y72" i="348"/>
  <c r="Y129" i="348" s="1"/>
  <c r="AA70" i="348"/>
  <c r="AA127" i="348" s="1"/>
  <c r="Z70" i="348"/>
  <c r="Z127" i="348" s="1"/>
  <c r="Y70" i="348"/>
  <c r="Y127" i="348" s="1"/>
  <c r="X72" i="348"/>
  <c r="X129" i="348" s="1"/>
  <c r="X79" i="348"/>
  <c r="W79" i="348"/>
  <c r="V79" i="348"/>
  <c r="V136" i="348" s="1"/>
  <c r="U79" i="348"/>
  <c r="U136" i="348" s="1"/>
  <c r="X78" i="348"/>
  <c r="X135" i="348" s="1"/>
  <c r="W78" i="348"/>
  <c r="W135" i="348" s="1"/>
  <c r="V78" i="348"/>
  <c r="U78" i="348"/>
  <c r="U135" i="348" s="1"/>
  <c r="X77" i="348"/>
  <c r="X134" i="348" s="1"/>
  <c r="W77" i="348"/>
  <c r="W134" i="348" s="1"/>
  <c r="V77" i="348"/>
  <c r="V134" i="348" s="1"/>
  <c r="U77" i="348"/>
  <c r="U134" i="348" s="1"/>
  <c r="X76" i="348"/>
  <c r="W76" i="348"/>
  <c r="W133" i="348" s="1"/>
  <c r="V76" i="348"/>
  <c r="V133" i="348" s="1"/>
  <c r="U76" i="348"/>
  <c r="U133" i="348" s="1"/>
  <c r="X75" i="348"/>
  <c r="X132" i="348" s="1"/>
  <c r="W75" i="348"/>
  <c r="W132" i="348" s="1"/>
  <c r="V75" i="348"/>
  <c r="V132" i="348" s="1"/>
  <c r="U75" i="348"/>
  <c r="U132" i="348" s="1"/>
  <c r="X74" i="348"/>
  <c r="X131" i="348" s="1"/>
  <c r="W74" i="348"/>
  <c r="W131" i="348" s="1"/>
  <c r="V74" i="348"/>
  <c r="V131" i="348" s="1"/>
  <c r="U74" i="348"/>
  <c r="U131" i="348" s="1"/>
  <c r="X73" i="348"/>
  <c r="X130" i="348" s="1"/>
  <c r="W73" i="348"/>
  <c r="W130" i="348" s="1"/>
  <c r="V73" i="348"/>
  <c r="V130" i="348" s="1"/>
  <c r="U73" i="348"/>
  <c r="U130" i="348" s="1"/>
  <c r="W72" i="348"/>
  <c r="W129" i="348" s="1"/>
  <c r="V72" i="348"/>
  <c r="V129" i="348" s="1"/>
  <c r="U72" i="348"/>
  <c r="U129" i="348" s="1"/>
  <c r="X71" i="348"/>
  <c r="X128" i="348" s="1"/>
  <c r="W71" i="348"/>
  <c r="W128" i="348" s="1"/>
  <c r="V71" i="348"/>
  <c r="V128" i="348" s="1"/>
  <c r="U71" i="348"/>
  <c r="U128" i="348" s="1"/>
  <c r="X70" i="348"/>
  <c r="X127" i="348" s="1"/>
  <c r="W70" i="348"/>
  <c r="W127" i="348" s="1"/>
  <c r="V70" i="348"/>
  <c r="V127" i="348" s="1"/>
  <c r="U70" i="348"/>
  <c r="U127" i="348" s="1"/>
  <c r="X69" i="348"/>
  <c r="X126" i="348" s="1"/>
  <c r="W69" i="348"/>
  <c r="W126" i="348" s="1"/>
  <c r="V69" i="348"/>
  <c r="V126" i="348" s="1"/>
  <c r="U69" i="348"/>
  <c r="U126" i="348" s="1"/>
  <c r="X68" i="348"/>
  <c r="X125" i="348" s="1"/>
  <c r="W68" i="348"/>
  <c r="W125" i="348" s="1"/>
  <c r="V68" i="348"/>
  <c r="V125" i="348" s="1"/>
  <c r="U68" i="348"/>
  <c r="U125" i="348" s="1"/>
  <c r="X67" i="348"/>
  <c r="X124" i="348" s="1"/>
  <c r="W67" i="348"/>
  <c r="W124" i="348" s="1"/>
  <c r="V67" i="348"/>
  <c r="V124" i="348" s="1"/>
  <c r="U67" i="348"/>
  <c r="U124" i="348" s="1"/>
  <c r="M77" i="348"/>
  <c r="M134" i="348" s="1"/>
  <c r="M76" i="348"/>
  <c r="M133" i="348" s="1"/>
  <c r="M75" i="348"/>
  <c r="M132" i="348" s="1"/>
  <c r="M74" i="348"/>
  <c r="M131" i="348" s="1"/>
  <c r="L75" i="348"/>
  <c r="L132" i="348" s="1"/>
  <c r="L74" i="348"/>
  <c r="L131" i="348" s="1"/>
  <c r="L73" i="348"/>
  <c r="L130" i="348" s="1"/>
  <c r="L72" i="348"/>
  <c r="L129" i="348" s="1"/>
  <c r="L71" i="348"/>
  <c r="L128" i="348" s="1"/>
  <c r="L70" i="348"/>
  <c r="L127" i="348" s="1"/>
  <c r="L69" i="348"/>
  <c r="L126" i="348" s="1"/>
  <c r="L68" i="348"/>
  <c r="L125" i="348" s="1"/>
  <c r="O79" i="348"/>
  <c r="O136" i="348" s="1"/>
  <c r="N79" i="348"/>
  <c r="N136" i="348" s="1"/>
  <c r="M79" i="348"/>
  <c r="L79" i="348"/>
  <c r="L136" i="348" s="1"/>
  <c r="O78" i="348"/>
  <c r="O135" i="348" s="1"/>
  <c r="N78" i="348"/>
  <c r="M78" i="348"/>
  <c r="M135" i="348" s="1"/>
  <c r="L78" i="348"/>
  <c r="L135" i="348" s="1"/>
  <c r="O77" i="348"/>
  <c r="O134" i="348" s="1"/>
  <c r="N77" i="348"/>
  <c r="N134" i="348" s="1"/>
  <c r="L77" i="348"/>
  <c r="O76" i="348"/>
  <c r="O133" i="348" s="1"/>
  <c r="N76" i="348"/>
  <c r="N133" i="348" s="1"/>
  <c r="L76" i="348"/>
  <c r="L133" i="348" s="1"/>
  <c r="O75" i="348"/>
  <c r="O132" i="348" s="1"/>
  <c r="N75" i="348"/>
  <c r="N132" i="348" s="1"/>
  <c r="O74" i="348"/>
  <c r="O131" i="348" s="1"/>
  <c r="N74" i="348"/>
  <c r="N131" i="348" s="1"/>
  <c r="O73" i="348"/>
  <c r="O130" i="348" s="1"/>
  <c r="N73" i="348"/>
  <c r="N130" i="348" s="1"/>
  <c r="M73" i="348"/>
  <c r="M130" i="348" s="1"/>
  <c r="O72" i="348"/>
  <c r="O129" i="348" s="1"/>
  <c r="N72" i="348"/>
  <c r="N129" i="348" s="1"/>
  <c r="M72" i="348"/>
  <c r="M129" i="348" s="1"/>
  <c r="O71" i="348"/>
  <c r="O128" i="348" s="1"/>
  <c r="N71" i="348"/>
  <c r="N128" i="348" s="1"/>
  <c r="M71" i="348"/>
  <c r="M128" i="348" s="1"/>
  <c r="O70" i="348"/>
  <c r="O127" i="348" s="1"/>
  <c r="N70" i="348"/>
  <c r="N127" i="348" s="1"/>
  <c r="M70" i="348"/>
  <c r="M127" i="348" s="1"/>
  <c r="O69" i="348"/>
  <c r="O126" i="348" s="1"/>
  <c r="N69" i="348"/>
  <c r="N126" i="348" s="1"/>
  <c r="M69" i="348"/>
  <c r="M126" i="348" s="1"/>
  <c r="O68" i="348"/>
  <c r="O125" i="348" s="1"/>
  <c r="N68" i="348"/>
  <c r="N125" i="348" s="1"/>
  <c r="M68" i="348"/>
  <c r="M125" i="348" s="1"/>
  <c r="P67" i="348"/>
  <c r="P124" i="348" s="1"/>
  <c r="T79" i="348"/>
  <c r="T136" i="348" s="1"/>
  <c r="S79" i="348"/>
  <c r="S136" i="348" s="1"/>
  <c r="R79" i="348"/>
  <c r="R136" i="348" s="1"/>
  <c r="Q79" i="348"/>
  <c r="Q136" i="348" s="1"/>
  <c r="P79" i="348"/>
  <c r="T78" i="348"/>
  <c r="S78" i="348"/>
  <c r="S135" i="348" s="1"/>
  <c r="K151" i="348" s="1"/>
  <c r="R78" i="348"/>
  <c r="R135" i="348" s="1"/>
  <c r="Q78" i="348"/>
  <c r="Q135" i="348" s="1"/>
  <c r="P78" i="348"/>
  <c r="T77" i="348"/>
  <c r="T134" i="348" s="1"/>
  <c r="S77" i="348"/>
  <c r="S134" i="348" s="1"/>
  <c r="R77" i="348"/>
  <c r="R134" i="348" s="1"/>
  <c r="Q77" i="348"/>
  <c r="P77" i="348"/>
  <c r="P134" i="348" s="1"/>
  <c r="T76" i="348"/>
  <c r="T133" i="348" s="1"/>
  <c r="S76" i="348"/>
  <c r="K92" i="348" s="1"/>
  <c r="R76" i="348"/>
  <c r="R133" i="348" s="1"/>
  <c r="Q76" i="348"/>
  <c r="Q133" i="348" s="1"/>
  <c r="P76" i="348"/>
  <c r="P133" i="348" s="1"/>
  <c r="T75" i="348"/>
  <c r="T132" i="348" s="1"/>
  <c r="S75" i="348"/>
  <c r="S132" i="348" s="1"/>
  <c r="R75" i="348"/>
  <c r="R132" i="348" s="1"/>
  <c r="Q75" i="348"/>
  <c r="Q132" i="348" s="1"/>
  <c r="P75" i="348"/>
  <c r="P132" i="348" s="1"/>
  <c r="T74" i="348"/>
  <c r="T131" i="348" s="1"/>
  <c r="S74" i="348"/>
  <c r="K90" i="348" s="1"/>
  <c r="R74" i="348"/>
  <c r="R131" i="348" s="1"/>
  <c r="Q74" i="348"/>
  <c r="Q131" i="348" s="1"/>
  <c r="P74" i="348"/>
  <c r="P131" i="348" s="1"/>
  <c r="T73" i="348"/>
  <c r="T130" i="348" s="1"/>
  <c r="S73" i="348"/>
  <c r="S130" i="348" s="1"/>
  <c r="K146" i="348" s="1"/>
  <c r="R73" i="348"/>
  <c r="R130" i="348" s="1"/>
  <c r="Q73" i="348"/>
  <c r="Q130" i="348" s="1"/>
  <c r="P73" i="348"/>
  <c r="P130" i="348" s="1"/>
  <c r="T72" i="348"/>
  <c r="T129" i="348" s="1"/>
  <c r="S72" i="348"/>
  <c r="R72" i="348"/>
  <c r="R129" i="348" s="1"/>
  <c r="Q72" i="348"/>
  <c r="Q129" i="348" s="1"/>
  <c r="P72" i="348"/>
  <c r="P129" i="348" s="1"/>
  <c r="T71" i="348"/>
  <c r="T128" i="348" s="1"/>
  <c r="S71" i="348"/>
  <c r="S128" i="348" s="1"/>
  <c r="R71" i="348"/>
  <c r="R128" i="348" s="1"/>
  <c r="Q71" i="348"/>
  <c r="Q128" i="348" s="1"/>
  <c r="P71" i="348"/>
  <c r="P128" i="348" s="1"/>
  <c r="T70" i="348"/>
  <c r="T127" i="348" s="1"/>
  <c r="S70" i="348"/>
  <c r="S127" i="348" s="1"/>
  <c r="R70" i="348"/>
  <c r="R127" i="348" s="1"/>
  <c r="Q70" i="348"/>
  <c r="Q127" i="348" s="1"/>
  <c r="P70" i="348"/>
  <c r="P127" i="348" s="1"/>
  <c r="T69" i="348"/>
  <c r="T126" i="348" s="1"/>
  <c r="S69" i="348"/>
  <c r="R69" i="348"/>
  <c r="R126" i="348" s="1"/>
  <c r="Q69" i="348"/>
  <c r="Q126" i="348" s="1"/>
  <c r="P69" i="348"/>
  <c r="P126" i="348" s="1"/>
  <c r="T68" i="348"/>
  <c r="T125" i="348" s="1"/>
  <c r="S68" i="348"/>
  <c r="R68" i="348"/>
  <c r="R125" i="348" s="1"/>
  <c r="Q68" i="348"/>
  <c r="Q125" i="348" s="1"/>
  <c r="P68" i="348"/>
  <c r="P125" i="348" s="1"/>
  <c r="T67" i="348"/>
  <c r="T124" i="348" s="1"/>
  <c r="S67" i="348"/>
  <c r="R67" i="348"/>
  <c r="R124" i="348" s="1"/>
  <c r="Q67" i="348"/>
  <c r="Q124" i="348" s="1"/>
  <c r="AD123" i="348"/>
  <c r="AC123" i="348"/>
  <c r="AB123" i="348"/>
  <c r="AA123" i="348"/>
  <c r="Z123" i="348"/>
  <c r="Y123" i="348"/>
  <c r="X123" i="348"/>
  <c r="W123" i="348"/>
  <c r="V123" i="348"/>
  <c r="U123" i="348"/>
  <c r="T123" i="348"/>
  <c r="S123" i="348"/>
  <c r="R123" i="348"/>
  <c r="Q123" i="348"/>
  <c r="M123" i="348"/>
  <c r="L123" i="348"/>
  <c r="S129" i="348"/>
  <c r="Q134" i="348"/>
  <c r="T135" i="348"/>
  <c r="W136" i="348"/>
  <c r="J140" i="348"/>
  <c r="J141" i="348"/>
  <c r="X136" i="348"/>
  <c r="V135" i="348"/>
  <c r="X133" i="348"/>
  <c r="AD66" i="348"/>
  <c r="AD50" i="348" s="1"/>
  <c r="AC66" i="348"/>
  <c r="AC50" i="348"/>
  <c r="AB66" i="348"/>
  <c r="AB50" i="348" s="1"/>
  <c r="AA66" i="348"/>
  <c r="AA50" i="348"/>
  <c r="Z66" i="348"/>
  <c r="Z50" i="348" s="1"/>
  <c r="Y66" i="348"/>
  <c r="Y50" i="348"/>
  <c r="X66" i="348"/>
  <c r="X50" i="348" s="1"/>
  <c r="W66" i="348"/>
  <c r="W50" i="348"/>
  <c r="V66" i="348"/>
  <c r="V50" i="348" s="1"/>
  <c r="U66" i="348"/>
  <c r="U50" i="348" s="1"/>
  <c r="T66" i="348"/>
  <c r="T50" i="348" s="1"/>
  <c r="S66" i="348"/>
  <c r="S50" i="348" s="1"/>
  <c r="R66" i="348"/>
  <c r="R50" i="348" s="1"/>
  <c r="Q66" i="348"/>
  <c r="Q50" i="348" s="1"/>
  <c r="F2" i="348"/>
  <c r="F5" i="348" s="1"/>
  <c r="E2" i="348"/>
  <c r="E4" i="348" s="1"/>
  <c r="D2" i="348"/>
  <c r="D7" i="348" s="1"/>
  <c r="C4" i="348"/>
  <c r="E66" i="348"/>
  <c r="E67" i="348"/>
  <c r="E68" i="348"/>
  <c r="E69" i="348"/>
  <c r="L120" i="348"/>
  <c r="L177" i="348" s="1"/>
  <c r="L119" i="348"/>
  <c r="L176" i="348" s="1"/>
  <c r="L118" i="348"/>
  <c r="L117" i="348"/>
  <c r="L116" i="348"/>
  <c r="L115" i="348"/>
  <c r="L114" i="348"/>
  <c r="M108" i="348"/>
  <c r="N108" i="348" s="1"/>
  <c r="T108" i="348" s="1"/>
  <c r="E126" i="348"/>
  <c r="B46" i="348"/>
  <c r="V152" i="348"/>
  <c r="J152" i="348"/>
  <c r="V140" i="348"/>
  <c r="J151" i="348"/>
  <c r="J150" i="348"/>
  <c r="J149" i="348"/>
  <c r="J148" i="348"/>
  <c r="J147" i="348"/>
  <c r="J146" i="348"/>
  <c r="J145" i="348"/>
  <c r="J144" i="348"/>
  <c r="J143" i="348"/>
  <c r="J142" i="348"/>
  <c r="O124" i="348"/>
  <c r="K124" i="348"/>
  <c r="P136" i="348"/>
  <c r="M136" i="348"/>
  <c r="K136" i="348"/>
  <c r="J136" i="348"/>
  <c r="I136" i="348"/>
  <c r="H136" i="348"/>
  <c r="G136" i="348"/>
  <c r="J135" i="348"/>
  <c r="J134" i="348"/>
  <c r="J133" i="348"/>
  <c r="J132" i="348"/>
  <c r="J131" i="348"/>
  <c r="J130" i="348"/>
  <c r="J129" i="348"/>
  <c r="J128" i="348"/>
  <c r="J127" i="348"/>
  <c r="J126" i="348"/>
  <c r="J125" i="348"/>
  <c r="J124" i="348"/>
  <c r="J95" i="348"/>
  <c r="P120" i="348" s="1"/>
  <c r="P177" i="348" s="1"/>
  <c r="H124" i="348"/>
  <c r="I124" i="348"/>
  <c r="J67" i="348"/>
  <c r="J83" i="348" s="1"/>
  <c r="P108" i="348" s="1"/>
  <c r="P165" i="348" s="1"/>
  <c r="G67" i="348"/>
  <c r="P123" i="348"/>
  <c r="O123" i="348"/>
  <c r="N123" i="348"/>
  <c r="B34" i="348"/>
  <c r="K9" i="1"/>
  <c r="K10" i="1" s="1"/>
  <c r="I9" i="1"/>
  <c r="I10" i="1" s="1"/>
  <c r="L32" i="348"/>
  <c r="M32" i="348"/>
  <c r="L33" i="348"/>
  <c r="M33" i="348"/>
  <c r="E32" i="348"/>
  <c r="F32" i="348"/>
  <c r="E33" i="348"/>
  <c r="F33" i="348"/>
  <c r="Q98" i="348"/>
  <c r="R111" i="348" s="1"/>
  <c r="R114" i="348"/>
  <c r="Q155" i="348"/>
  <c r="R177" i="348"/>
  <c r="H125" i="348"/>
  <c r="H126" i="348"/>
  <c r="H127" i="348"/>
  <c r="H128" i="348"/>
  <c r="G128" i="348" s="1"/>
  <c r="H129" i="348"/>
  <c r="H130" i="348"/>
  <c r="G130" i="348" s="1"/>
  <c r="H131" i="348"/>
  <c r="H132" i="348"/>
  <c r="G132" i="348" s="1"/>
  <c r="H133" i="348"/>
  <c r="H134" i="348"/>
  <c r="H135" i="348"/>
  <c r="I126" i="348"/>
  <c r="I127" i="348"/>
  <c r="I128" i="348"/>
  <c r="I129" i="348"/>
  <c r="I130" i="348"/>
  <c r="I131" i="348"/>
  <c r="G131" i="348" s="1"/>
  <c r="I132" i="348"/>
  <c r="I133" i="348"/>
  <c r="I134" i="348"/>
  <c r="I135" i="348"/>
  <c r="I125" i="348"/>
  <c r="P66" i="348"/>
  <c r="P50" i="348" s="1"/>
  <c r="O66" i="348"/>
  <c r="O50" i="348" s="1"/>
  <c r="N66" i="348"/>
  <c r="N50" i="348" s="1"/>
  <c r="M66" i="348"/>
  <c r="M50" i="348" s="1"/>
  <c r="L66" i="348"/>
  <c r="L50" i="348"/>
  <c r="J69" i="348"/>
  <c r="J85" i="348" s="1"/>
  <c r="P110" i="348" s="1"/>
  <c r="P167" i="348" s="1"/>
  <c r="J70" i="348"/>
  <c r="J86" i="348" s="1"/>
  <c r="P111" i="348" s="1"/>
  <c r="P168" i="348" s="1"/>
  <c r="J71" i="348"/>
  <c r="J87" i="348" s="1"/>
  <c r="P112" i="348" s="1"/>
  <c r="P169" i="348" s="1"/>
  <c r="J72" i="348"/>
  <c r="J88" i="348" s="1"/>
  <c r="P113" i="348" s="1"/>
  <c r="P170" i="348" s="1"/>
  <c r="J89" i="348"/>
  <c r="P114" i="348" s="1"/>
  <c r="P171" i="348" s="1"/>
  <c r="J90" i="348"/>
  <c r="P115" i="348" s="1"/>
  <c r="P172" i="348" s="1"/>
  <c r="J91" i="348"/>
  <c r="P116" i="348" s="1"/>
  <c r="P173" i="348" s="1"/>
  <c r="J92" i="348"/>
  <c r="P117" i="348" s="1"/>
  <c r="P174" i="348" s="1"/>
  <c r="J93" i="348"/>
  <c r="P118" i="348" s="1"/>
  <c r="P175" i="348" s="1"/>
  <c r="J94" i="348"/>
  <c r="P119" i="348" s="1"/>
  <c r="P176" i="348" s="1"/>
  <c r="J68" i="348"/>
  <c r="J84" i="348" s="1"/>
  <c r="P109" i="348" s="1"/>
  <c r="P166" i="348" s="1"/>
  <c r="G72" i="348"/>
  <c r="G71" i="348"/>
  <c r="G70" i="348"/>
  <c r="G69" i="348"/>
  <c r="G68" i="348"/>
  <c r="B36" i="348"/>
  <c r="B37" i="348"/>
  <c r="B38" i="348"/>
  <c r="B39" i="348"/>
  <c r="B40" i="348"/>
  <c r="B41" i="348"/>
  <c r="B42" i="348"/>
  <c r="B43" i="348"/>
  <c r="B44" i="348"/>
  <c r="B45" i="348"/>
  <c r="B35" i="348"/>
  <c r="C32" i="348"/>
  <c r="D32" i="348"/>
  <c r="G32" i="348"/>
  <c r="H32" i="348"/>
  <c r="I32" i="348"/>
  <c r="I33" i="348"/>
  <c r="J32" i="348"/>
  <c r="K32" i="348"/>
  <c r="N32" i="348"/>
  <c r="O32" i="348"/>
  <c r="P32" i="348"/>
  <c r="P33" i="348"/>
  <c r="C33" i="348"/>
  <c r="D33" i="348"/>
  <c r="G33" i="348"/>
  <c r="H33" i="348"/>
  <c r="J33" i="348"/>
  <c r="K33" i="348"/>
  <c r="N33" i="348"/>
  <c r="O33" i="348"/>
  <c r="B66" i="348"/>
  <c r="C66" i="348"/>
  <c r="D66" i="348"/>
  <c r="F66" i="348"/>
  <c r="B67" i="348"/>
  <c r="C67" i="348"/>
  <c r="D67" i="348"/>
  <c r="F67" i="348"/>
  <c r="B68" i="348"/>
  <c r="C68" i="348"/>
  <c r="D68" i="348"/>
  <c r="F68" i="348"/>
  <c r="B69" i="348"/>
  <c r="C69" i="348"/>
  <c r="E75" i="348"/>
  <c r="J113" i="348" s="1"/>
  <c r="Q101" i="348"/>
  <c r="S101" i="348"/>
  <c r="Q104" i="348"/>
  <c r="S104" i="348"/>
  <c r="B123" i="348"/>
  <c r="C123" i="348"/>
  <c r="D123" i="348"/>
  <c r="E123" i="348"/>
  <c r="F123" i="348"/>
  <c r="B124" i="348"/>
  <c r="C124" i="348"/>
  <c r="D124" i="348"/>
  <c r="E124" i="348"/>
  <c r="F124" i="348"/>
  <c r="K125" i="348"/>
  <c r="B125" i="348"/>
  <c r="C125" i="348"/>
  <c r="D125" i="348"/>
  <c r="E125" i="348"/>
  <c r="F125" i="348"/>
  <c r="K126" i="348"/>
  <c r="B126" i="348"/>
  <c r="C126" i="348"/>
  <c r="K127" i="348"/>
  <c r="K128" i="348"/>
  <c r="K129" i="348"/>
  <c r="E129" i="348"/>
  <c r="K130" i="348"/>
  <c r="K131" i="348"/>
  <c r="K132" i="348"/>
  <c r="K133" i="348"/>
  <c r="K134" i="348"/>
  <c r="L134" i="348"/>
  <c r="K135" i="348"/>
  <c r="N135" i="348"/>
  <c r="P135" i="348"/>
  <c r="V141" i="348"/>
  <c r="V142" i="348"/>
  <c r="V143" i="348"/>
  <c r="V144" i="348"/>
  <c r="V145" i="348"/>
  <c r="V146" i="348"/>
  <c r="V147" i="348"/>
  <c r="V148" i="348"/>
  <c r="V149" i="348"/>
  <c r="V150" i="348"/>
  <c r="V151" i="348"/>
  <c r="Q158" i="348"/>
  <c r="S158" i="348"/>
  <c r="Q161" i="348"/>
  <c r="S161" i="348"/>
  <c r="R170" i="348"/>
  <c r="E9" i="1"/>
  <c r="E10" i="1" s="1"/>
  <c r="G9" i="1"/>
  <c r="G10" i="1" s="1"/>
  <c r="M10" i="1"/>
  <c r="R173" i="348"/>
  <c r="E73" i="348"/>
  <c r="E141" i="348" s="1"/>
  <c r="E127" i="348"/>
  <c r="L145" i="348" s="1"/>
  <c r="R169" i="348"/>
  <c r="R168" i="348"/>
  <c r="R171" i="348"/>
  <c r="R172" i="348"/>
  <c r="R174" i="348"/>
  <c r="G126" i="348"/>
  <c r="R176" i="348"/>
  <c r="R175" i="348"/>
  <c r="R166" i="348"/>
  <c r="R167" i="348"/>
  <c r="G125" i="348"/>
  <c r="R115" i="348"/>
  <c r="R109" i="348"/>
  <c r="R110" i="348"/>
  <c r="R118" i="348"/>
  <c r="R113" i="348"/>
  <c r="R108" i="348"/>
  <c r="M165" i="348"/>
  <c r="R165" i="348"/>
  <c r="J115" i="348" l="1"/>
  <c r="L172" i="348"/>
  <c r="G134" i="348"/>
  <c r="J116" i="348"/>
  <c r="M116" i="348" s="1"/>
  <c r="M173" i="348" s="1"/>
  <c r="N173" i="348" s="1"/>
  <c r="T173" i="348" s="1"/>
  <c r="L173" i="348"/>
  <c r="K91" i="348"/>
  <c r="H91" i="348" s="1"/>
  <c r="K139" i="348"/>
  <c r="J111" i="348"/>
  <c r="M111" i="348" s="1"/>
  <c r="M168" i="348" s="1"/>
  <c r="N168" i="348" s="1"/>
  <c r="T168" i="348" s="1"/>
  <c r="L168" i="348"/>
  <c r="R117" i="348"/>
  <c r="R112" i="348"/>
  <c r="R119" i="348"/>
  <c r="J117" i="348"/>
  <c r="L174" i="348"/>
  <c r="K95" i="348"/>
  <c r="L95" i="348" s="1"/>
  <c r="M95" i="348" s="1"/>
  <c r="O95" i="348" s="1"/>
  <c r="K148" i="348"/>
  <c r="H148" i="348" s="1"/>
  <c r="K152" i="348"/>
  <c r="J110" i="348"/>
  <c r="M110" i="348" s="1"/>
  <c r="M167" i="348" s="1"/>
  <c r="L167" i="348"/>
  <c r="K94" i="348"/>
  <c r="H94" i="348" s="1"/>
  <c r="R116" i="348"/>
  <c r="R120" i="348"/>
  <c r="G135" i="348"/>
  <c r="H151" i="348" s="1"/>
  <c r="G124" i="348"/>
  <c r="L171" i="348"/>
  <c r="J114" i="348"/>
  <c r="M114" i="348" s="1"/>
  <c r="J118" i="348"/>
  <c r="M118" i="348" s="1"/>
  <c r="M175" i="348" s="1"/>
  <c r="N175" i="348" s="1"/>
  <c r="T175" i="348" s="1"/>
  <c r="L175" i="348"/>
  <c r="J112" i="348"/>
  <c r="L169" i="348"/>
  <c r="J109" i="348"/>
  <c r="M109" i="348" s="1"/>
  <c r="M166" i="348" s="1"/>
  <c r="L166" i="348"/>
  <c r="E6" i="348"/>
  <c r="K82" i="348"/>
  <c r="L144" i="348"/>
  <c r="O144" i="348" s="1"/>
  <c r="E5" i="348"/>
  <c r="F6" i="348"/>
  <c r="K143" i="348"/>
  <c r="K140" i="348"/>
  <c r="K83" i="348"/>
  <c r="H83" i="348" s="1"/>
  <c r="K145" i="348"/>
  <c r="M145" i="348" s="1"/>
  <c r="N145" i="348" s="1"/>
  <c r="K88" i="348"/>
  <c r="H88" i="348" s="1"/>
  <c r="K84" i="348"/>
  <c r="H84" i="348" s="1"/>
  <c r="O145" i="348"/>
  <c r="K144" i="348"/>
  <c r="H144" i="348" s="1"/>
  <c r="K86" i="348"/>
  <c r="H86" i="348" s="1"/>
  <c r="K85" i="348"/>
  <c r="H85" i="348" s="1"/>
  <c r="E143" i="348"/>
  <c r="Q165" i="348" s="1"/>
  <c r="L151" i="348"/>
  <c r="O151" i="348" s="1"/>
  <c r="R151" i="348" s="1"/>
  <c r="P151" i="348" s="1"/>
  <c r="L149" i="348"/>
  <c r="L143" i="348"/>
  <c r="D6" i="348"/>
  <c r="Q108" i="348"/>
  <c r="C6" i="348"/>
  <c r="L147" i="348"/>
  <c r="O147" i="348" s="1"/>
  <c r="R147" i="348" s="1"/>
  <c r="S147" i="348" s="1"/>
  <c r="W147" i="348" s="1"/>
  <c r="X147" i="348" s="1"/>
  <c r="V172" i="348" s="1"/>
  <c r="L150" i="348"/>
  <c r="O150" i="348" s="1"/>
  <c r="R150" i="348" s="1"/>
  <c r="D71" i="348"/>
  <c r="D139" i="348" s="1"/>
  <c r="M113" i="348"/>
  <c r="N113" i="348" s="1"/>
  <c r="T113" i="348" s="1"/>
  <c r="L146" i="348"/>
  <c r="O146" i="348" s="1"/>
  <c r="R146" i="348" s="1"/>
  <c r="Q146" i="348" s="1"/>
  <c r="L142" i="348"/>
  <c r="O142" i="348" s="1"/>
  <c r="R142" i="348" s="1"/>
  <c r="P142" i="348" s="1"/>
  <c r="L140" i="348"/>
  <c r="O140" i="348" s="1"/>
  <c r="R140" i="348" s="1"/>
  <c r="P140" i="348" s="1"/>
  <c r="L141" i="348"/>
  <c r="O141" i="348" s="1"/>
  <c r="R141" i="348" s="1"/>
  <c r="S141" i="348" s="1"/>
  <c r="W141" i="348" s="1"/>
  <c r="X141" i="348" s="1"/>
  <c r="L152" i="348"/>
  <c r="O152" i="348" s="1"/>
  <c r="R152" i="348" s="1"/>
  <c r="P152" i="348" s="1"/>
  <c r="L148" i="348"/>
  <c r="O148" i="348" s="1"/>
  <c r="R148" i="348" s="1"/>
  <c r="Q148" i="348" s="1"/>
  <c r="Q111" i="348"/>
  <c r="Q113" i="348"/>
  <c r="R144" i="348"/>
  <c r="P144" i="348" s="1"/>
  <c r="E71" i="348"/>
  <c r="E139" i="348" s="1"/>
  <c r="G129" i="348"/>
  <c r="G127" i="348"/>
  <c r="N165" i="348"/>
  <c r="T165" i="348" s="1"/>
  <c r="K150" i="348"/>
  <c r="O149" i="348"/>
  <c r="R149" i="348" s="1"/>
  <c r="S149" i="348" s="1"/>
  <c r="W149" i="348" s="1"/>
  <c r="X149" i="348" s="1"/>
  <c r="V174" i="348" s="1"/>
  <c r="O143" i="348"/>
  <c r="R143" i="348" s="1"/>
  <c r="Q143" i="348" s="1"/>
  <c r="Q119" i="348"/>
  <c r="M112" i="348"/>
  <c r="N112" i="348" s="1"/>
  <c r="T112" i="348" s="1"/>
  <c r="J120" i="348"/>
  <c r="M120" i="348" s="1"/>
  <c r="M177" i="348" s="1"/>
  <c r="N177" i="348" s="1"/>
  <c r="T177" i="348" s="1"/>
  <c r="Q117" i="348"/>
  <c r="Q114" i="348"/>
  <c r="Q116" i="348"/>
  <c r="Q118" i="348"/>
  <c r="Q120" i="348"/>
  <c r="Q110" i="348"/>
  <c r="Q115" i="348"/>
  <c r="Q109" i="348"/>
  <c r="J119" i="348"/>
  <c r="M119" i="348" s="1"/>
  <c r="M176" i="348" s="1"/>
  <c r="N176" i="348" s="1"/>
  <c r="T176" i="348" s="1"/>
  <c r="Q112" i="348"/>
  <c r="M115" i="348"/>
  <c r="M172" i="348" s="1"/>
  <c r="N172" i="348" s="1"/>
  <c r="T172" i="348" s="1"/>
  <c r="R145" i="348"/>
  <c r="S145" i="348" s="1"/>
  <c r="W145" i="348" s="1"/>
  <c r="X145" i="348" s="1"/>
  <c r="M117" i="348"/>
  <c r="N117" i="348" s="1"/>
  <c r="T117" i="348" s="1"/>
  <c r="M174" i="348"/>
  <c r="N174" i="348" s="1"/>
  <c r="T174" i="348" s="1"/>
  <c r="N110" i="348"/>
  <c r="T110" i="348" s="1"/>
  <c r="S125" i="348"/>
  <c r="K141" i="348" s="1"/>
  <c r="S131" i="348"/>
  <c r="K147" i="348" s="1"/>
  <c r="H147" i="348" s="1"/>
  <c r="K87" i="348"/>
  <c r="H87" i="348" s="1"/>
  <c r="G133" i="348"/>
  <c r="H92" i="348"/>
  <c r="H90" i="348"/>
  <c r="H95" i="348"/>
  <c r="S133" i="348"/>
  <c r="K149" i="348" s="1"/>
  <c r="H149" i="348" s="1"/>
  <c r="K89" i="348"/>
  <c r="H89" i="348" s="1"/>
  <c r="K93" i="348"/>
  <c r="H93" i="348" s="1"/>
  <c r="S126" i="348"/>
  <c r="K142" i="348" s="1"/>
  <c r="H142" i="348" s="1"/>
  <c r="S124" i="348"/>
  <c r="M151" i="348"/>
  <c r="N151" i="348" s="1"/>
  <c r="M148" i="348"/>
  <c r="N148" i="348" s="1"/>
  <c r="H146" i="348"/>
  <c r="M146" i="348"/>
  <c r="N146" i="348" s="1"/>
  <c r="H152" i="348"/>
  <c r="M152" i="348"/>
  <c r="N152" i="348" s="1"/>
  <c r="B11" i="1"/>
  <c r="D5" i="348"/>
  <c r="B14" i="1" s="1"/>
  <c r="B20" i="1"/>
  <c r="D4" i="348"/>
  <c r="B22" i="1"/>
  <c r="F7" i="348"/>
  <c r="B16" i="1" s="1"/>
  <c r="B19" i="1"/>
  <c r="D3" i="348"/>
  <c r="F4" i="348"/>
  <c r="F3" i="348"/>
  <c r="C7" i="348"/>
  <c r="C5" i="348"/>
  <c r="E3" i="348"/>
  <c r="E7" i="348"/>
  <c r="C3" i="348"/>
  <c r="B23" i="1"/>
  <c r="M171" i="348" l="1"/>
  <c r="N171" i="348" s="1"/>
  <c r="T171" i="348" s="1"/>
  <c r="N114" i="348"/>
  <c r="T114" i="348" s="1"/>
  <c r="N166" i="348"/>
  <c r="T166" i="348" s="1"/>
  <c r="N109" i="348"/>
  <c r="T109" i="348" s="1"/>
  <c r="N167" i="348"/>
  <c r="T167" i="348" s="1"/>
  <c r="L94" i="348"/>
  <c r="M94" i="348" s="1"/>
  <c r="N94" i="348" s="1"/>
  <c r="M169" i="348"/>
  <c r="N169" i="348" s="1"/>
  <c r="T169" i="348" s="1"/>
  <c r="H150" i="348"/>
  <c r="U174" i="348"/>
  <c r="W174" i="348" s="1"/>
  <c r="U176" i="348"/>
  <c r="W176" i="348" s="1"/>
  <c r="Y176" i="348" s="1"/>
  <c r="P45" i="348" s="1"/>
  <c r="M22" i="1" s="1"/>
  <c r="U173" i="348"/>
  <c r="W173" i="348" s="1"/>
  <c r="U175" i="348"/>
  <c r="W175" i="348" s="1"/>
  <c r="U172" i="348"/>
  <c r="W172" i="348" s="1"/>
  <c r="M141" i="348"/>
  <c r="N141" i="348" s="1"/>
  <c r="U141" i="348" s="1"/>
  <c r="Q140" i="348"/>
  <c r="M143" i="348"/>
  <c r="N143" i="348" s="1"/>
  <c r="B15" i="1"/>
  <c r="H143" i="348"/>
  <c r="N111" i="348"/>
  <c r="T111" i="348" s="1"/>
  <c r="H145" i="348"/>
  <c r="M144" i="348"/>
  <c r="N144" i="348" s="1"/>
  <c r="Q149" i="348"/>
  <c r="S144" i="348"/>
  <c r="U165" i="348"/>
  <c r="Q175" i="348"/>
  <c r="Q174" i="348"/>
  <c r="Q167" i="348"/>
  <c r="U167" i="348" s="1"/>
  <c r="Q173" i="348"/>
  <c r="Q171" i="348"/>
  <c r="Q166" i="348"/>
  <c r="Q177" i="348"/>
  <c r="Q170" i="348"/>
  <c r="V170" i="348" s="1"/>
  <c r="Q168" i="348"/>
  <c r="U168" i="348" s="1"/>
  <c r="Q172" i="348"/>
  <c r="Q176" i="348"/>
  <c r="Q169" i="348"/>
  <c r="U169" i="348" s="1"/>
  <c r="E77" i="348"/>
  <c r="U171" i="348"/>
  <c r="U177" i="348"/>
  <c r="S148" i="348"/>
  <c r="W148" i="348" s="1"/>
  <c r="X148" i="348" s="1"/>
  <c r="V173" i="348" s="1"/>
  <c r="N120" i="348"/>
  <c r="T120" i="348" s="1"/>
  <c r="M170" i="348"/>
  <c r="N170" i="348" s="1"/>
  <c r="T170" i="348" s="1"/>
  <c r="S140" i="348"/>
  <c r="W140" i="348" s="1"/>
  <c r="X140" i="348" s="1"/>
  <c r="V165" i="348" s="1"/>
  <c r="Q144" i="348"/>
  <c r="P149" i="348"/>
  <c r="P148" i="348"/>
  <c r="Q141" i="348"/>
  <c r="S151" i="348"/>
  <c r="W151" i="348" s="1"/>
  <c r="X151" i="348" s="1"/>
  <c r="V176" i="348" s="1"/>
  <c r="S143" i="348"/>
  <c r="W143" i="348" s="1"/>
  <c r="X143" i="348" s="1"/>
  <c r="H141" i="348"/>
  <c r="M150" i="348"/>
  <c r="Q150" i="348"/>
  <c r="P150" i="348"/>
  <c r="S150" i="348"/>
  <c r="W150" i="348" s="1"/>
  <c r="X150" i="348" s="1"/>
  <c r="V175" i="348" s="1"/>
  <c r="P141" i="348"/>
  <c r="Q151" i="348"/>
  <c r="N118" i="348"/>
  <c r="T118" i="348" s="1"/>
  <c r="M147" i="348"/>
  <c r="N115" i="348"/>
  <c r="T115" i="348" s="1"/>
  <c r="N116" i="348"/>
  <c r="T116" i="348" s="1"/>
  <c r="N119" i="348"/>
  <c r="T119" i="348" s="1"/>
  <c r="L91" i="348"/>
  <c r="M91" i="348" s="1"/>
  <c r="N91" i="348" s="1"/>
  <c r="P145" i="348"/>
  <c r="H140" i="348"/>
  <c r="M140" i="348"/>
  <c r="N140" i="348" s="1"/>
  <c r="B21" i="1"/>
  <c r="B18" i="1"/>
  <c r="B12" i="1"/>
  <c r="B13" i="1"/>
  <c r="X176" i="348"/>
  <c r="L90" i="348"/>
  <c r="M90" i="348" s="1"/>
  <c r="O90" i="348" s="1"/>
  <c r="R90" i="348" s="1"/>
  <c r="L92" i="348"/>
  <c r="M92" i="348" s="1"/>
  <c r="O92" i="348" s="1"/>
  <c r="R92" i="348" s="1"/>
  <c r="S152" i="348"/>
  <c r="W152" i="348" s="1"/>
  <c r="X152" i="348" s="1"/>
  <c r="V177" i="348" s="1"/>
  <c r="P146" i="348"/>
  <c r="Q145" i="348"/>
  <c r="Q142" i="348"/>
  <c r="Q152" i="348"/>
  <c r="S146" i="348"/>
  <c r="W146" i="348" s="1"/>
  <c r="X146" i="348" s="1"/>
  <c r="V171" i="348" s="1"/>
  <c r="P143" i="348"/>
  <c r="S142" i="348"/>
  <c r="W142" i="348" s="1"/>
  <c r="X142" i="348" s="1"/>
  <c r="P147" i="348"/>
  <c r="Q147" i="348"/>
  <c r="M149" i="348"/>
  <c r="N149" i="348" s="1"/>
  <c r="L93" i="348"/>
  <c r="M93" i="348" s="1"/>
  <c r="N93" i="348" s="1"/>
  <c r="U118" i="348" s="1"/>
  <c r="N95" i="348"/>
  <c r="L89" i="348"/>
  <c r="M89" i="348" s="1"/>
  <c r="N89" i="348" s="1"/>
  <c r="U114" i="348" s="1"/>
  <c r="M142" i="348"/>
  <c r="N142" i="348" s="1"/>
  <c r="O94" i="348"/>
  <c r="R94" i="348" s="1"/>
  <c r="S94" i="348" s="1"/>
  <c r="U145" i="348"/>
  <c r="X170" i="348"/>
  <c r="X171" i="348"/>
  <c r="X173" i="348"/>
  <c r="X177" i="348"/>
  <c r="B17" i="1"/>
  <c r="R95" i="348"/>
  <c r="Q95" i="348"/>
  <c r="P95" i="348"/>
  <c r="U116" i="348" l="1"/>
  <c r="U166" i="348"/>
  <c r="U119" i="348"/>
  <c r="H45" i="348" s="1"/>
  <c r="X168" i="348"/>
  <c r="X166" i="348"/>
  <c r="U144" i="348"/>
  <c r="X169" i="348"/>
  <c r="L86" i="348"/>
  <c r="M86" i="348" s="1"/>
  <c r="N86" i="348" s="1"/>
  <c r="U111" i="348" s="1"/>
  <c r="C37" i="348" s="1"/>
  <c r="E145" i="348"/>
  <c r="W144" i="348"/>
  <c r="X144" i="348" s="1"/>
  <c r="V169" i="348" s="1"/>
  <c r="W169" i="348" s="1"/>
  <c r="U170" i="348"/>
  <c r="W170" i="348" s="1"/>
  <c r="Y170" i="348" s="1"/>
  <c r="O39" i="348" s="1"/>
  <c r="K16" i="1" s="1"/>
  <c r="V168" i="348"/>
  <c r="W168" i="348" s="1"/>
  <c r="Y168" i="348" s="1"/>
  <c r="M37" i="348" s="1"/>
  <c r="L88" i="348"/>
  <c r="M88" i="348" s="1"/>
  <c r="N88" i="348" s="1"/>
  <c r="U113" i="348" s="1"/>
  <c r="C39" i="348" s="1"/>
  <c r="W165" i="348"/>
  <c r="V166" i="348"/>
  <c r="W166" i="348" s="1"/>
  <c r="V167" i="348"/>
  <c r="W167" i="348" s="1"/>
  <c r="L84" i="348"/>
  <c r="M84" i="348" s="1"/>
  <c r="O84" i="348" s="1"/>
  <c r="Q84" i="348" s="1"/>
  <c r="L85" i="348"/>
  <c r="M85" i="348" s="1"/>
  <c r="O85" i="348" s="1"/>
  <c r="R85" i="348" s="1"/>
  <c r="L87" i="348"/>
  <c r="M87" i="348" s="1"/>
  <c r="N87" i="348" s="1"/>
  <c r="U112" i="348" s="1"/>
  <c r="C38" i="348" s="1"/>
  <c r="U151" i="348"/>
  <c r="L83" i="348"/>
  <c r="M83" i="348" s="1"/>
  <c r="O83" i="348" s="1"/>
  <c r="W177" i="348"/>
  <c r="Y177" i="348" s="1"/>
  <c r="K46" i="348" s="1"/>
  <c r="G23" i="1" s="1"/>
  <c r="U148" i="348"/>
  <c r="W171" i="348"/>
  <c r="Y171" i="348" s="1"/>
  <c r="P40" i="348" s="1"/>
  <c r="M17" i="1" s="1"/>
  <c r="U120" i="348"/>
  <c r="H46" i="348" s="1"/>
  <c r="U143" i="348"/>
  <c r="N147" i="348"/>
  <c r="U147" i="348" s="1"/>
  <c r="X175" i="348"/>
  <c r="N150" i="348"/>
  <c r="U150" i="348" s="1"/>
  <c r="Y175" i="348"/>
  <c r="L44" i="348" s="1"/>
  <c r="X172" i="348"/>
  <c r="Y172" i="348" s="1"/>
  <c r="K41" i="348" s="1"/>
  <c r="G18" i="1" s="1"/>
  <c r="Q90" i="348"/>
  <c r="P92" i="348"/>
  <c r="O91" i="348"/>
  <c r="P91" i="348" s="1"/>
  <c r="Q92" i="348"/>
  <c r="O86" i="348"/>
  <c r="R86" i="348" s="1"/>
  <c r="S86" i="348" s="1"/>
  <c r="G37" i="348" s="1"/>
  <c r="N90" i="348"/>
  <c r="U115" i="348" s="1"/>
  <c r="C41" i="348" s="1"/>
  <c r="N92" i="348"/>
  <c r="U117" i="348" s="1"/>
  <c r="E43" i="348" s="1"/>
  <c r="P90" i="348"/>
  <c r="U152" i="348"/>
  <c r="Y173" i="348"/>
  <c r="K42" i="348" s="1"/>
  <c r="G19" i="1" s="1"/>
  <c r="X165" i="348"/>
  <c r="X174" i="348"/>
  <c r="Y174" i="348" s="1"/>
  <c r="U149" i="348"/>
  <c r="U140" i="348"/>
  <c r="U146" i="348"/>
  <c r="S95" i="348"/>
  <c r="W95" i="348" s="1"/>
  <c r="X95" i="348" s="1"/>
  <c r="V120" i="348" s="1"/>
  <c r="M45" i="348"/>
  <c r="C40" i="348"/>
  <c r="O89" i="348"/>
  <c r="Q89" i="348" s="1"/>
  <c r="F40" i="348" s="1"/>
  <c r="O93" i="348"/>
  <c r="C44" i="348"/>
  <c r="O45" i="348"/>
  <c r="K22" i="1" s="1"/>
  <c r="L45" i="348"/>
  <c r="J45" i="348"/>
  <c r="E22" i="1" s="1"/>
  <c r="P94" i="348"/>
  <c r="K45" i="348"/>
  <c r="G22" i="1" s="1"/>
  <c r="N45" i="348"/>
  <c r="I22" i="1" s="1"/>
  <c r="Q94" i="348"/>
  <c r="X167" i="348"/>
  <c r="U142" i="348"/>
  <c r="E42" i="348"/>
  <c r="C42" i="348"/>
  <c r="W94" i="348"/>
  <c r="X94" i="348" s="1"/>
  <c r="V119" i="348" s="1"/>
  <c r="U94" i="348"/>
  <c r="E45" i="348"/>
  <c r="G45" i="348"/>
  <c r="F45" i="348"/>
  <c r="W119" i="348"/>
  <c r="I45" i="348" s="1"/>
  <c r="D45" i="348" l="1"/>
  <c r="C45" i="348"/>
  <c r="Y166" i="348"/>
  <c r="M35" i="348" s="1"/>
  <c r="Q83" i="348"/>
  <c r="P83" i="348"/>
  <c r="Y169" i="348"/>
  <c r="J38" i="348" s="1"/>
  <c r="E15" i="1" s="1"/>
  <c r="Y165" i="348"/>
  <c r="L34" i="348" s="1"/>
  <c r="N84" i="348"/>
  <c r="U109" i="348" s="1"/>
  <c r="R84" i="348"/>
  <c r="K37" i="348"/>
  <c r="G14" i="1" s="1"/>
  <c r="O88" i="348"/>
  <c r="P88" i="348" s="1"/>
  <c r="E39" i="348" s="1"/>
  <c r="Y167" i="348"/>
  <c r="P36" i="348" s="1"/>
  <c r="M13" i="1" s="1"/>
  <c r="W120" i="348"/>
  <c r="I46" i="348" s="1"/>
  <c r="N44" i="348"/>
  <c r="I21" i="1" s="1"/>
  <c r="Q85" i="348"/>
  <c r="O87" i="348"/>
  <c r="R87" i="348" s="1"/>
  <c r="P84" i="348"/>
  <c r="N85" i="348"/>
  <c r="U110" i="348" s="1"/>
  <c r="D36" i="348" s="1"/>
  <c r="N83" i="348"/>
  <c r="U108" i="348" s="1"/>
  <c r="C34" i="348" s="1"/>
  <c r="E46" i="348"/>
  <c r="O44" i="348"/>
  <c r="K21" i="1" s="1"/>
  <c r="J44" i="348"/>
  <c r="E21" i="1" s="1"/>
  <c r="R83" i="348"/>
  <c r="P85" i="348"/>
  <c r="D37" i="348"/>
  <c r="N37" i="348"/>
  <c r="I14" i="1" s="1"/>
  <c r="C46" i="348"/>
  <c r="G46" i="348"/>
  <c r="J37" i="348"/>
  <c r="E14" i="1" s="1"/>
  <c r="O37" i="348"/>
  <c r="K14" i="1" s="1"/>
  <c r="P37" i="348"/>
  <c r="M14" i="1" s="1"/>
  <c r="L37" i="348"/>
  <c r="D46" i="348"/>
  <c r="F46" i="348"/>
  <c r="M44" i="348"/>
  <c r="P44" i="348"/>
  <c r="M21" i="1" s="1"/>
  <c r="K44" i="348"/>
  <c r="G21" i="1" s="1"/>
  <c r="E41" i="348"/>
  <c r="J46" i="348"/>
  <c r="E23" i="1" s="1"/>
  <c r="J42" i="348"/>
  <c r="E19" i="1" s="1"/>
  <c r="U86" i="348"/>
  <c r="H37" i="348" s="1"/>
  <c r="D41" i="348"/>
  <c r="F41" i="348"/>
  <c r="K39" i="348"/>
  <c r="G16" i="1" s="1"/>
  <c r="M39" i="348"/>
  <c r="S90" i="348"/>
  <c r="U90" i="348" s="1"/>
  <c r="H41" i="348" s="1"/>
  <c r="P86" i="348"/>
  <c r="E37" i="348" s="1"/>
  <c r="R91" i="348"/>
  <c r="S91" i="348" s="1"/>
  <c r="U91" i="348" s="1"/>
  <c r="H42" i="348" s="1"/>
  <c r="M46" i="348"/>
  <c r="L41" i="348"/>
  <c r="W86" i="348"/>
  <c r="X86" i="348" s="1"/>
  <c r="V111" i="348" s="1"/>
  <c r="W111" i="348" s="1"/>
  <c r="I37" i="348" s="1"/>
  <c r="P39" i="348"/>
  <c r="M16" i="1" s="1"/>
  <c r="L39" i="348"/>
  <c r="N39" i="348"/>
  <c r="I16" i="1" s="1"/>
  <c r="Q91" i="348"/>
  <c r="F42" i="348" s="1"/>
  <c r="Q86" i="348"/>
  <c r="F37" i="348" s="1"/>
  <c r="J39" i="348"/>
  <c r="E16" i="1" s="1"/>
  <c r="C43" i="348"/>
  <c r="N40" i="348"/>
  <c r="I17" i="1" s="1"/>
  <c r="S92" i="348"/>
  <c r="U92" i="348" s="1"/>
  <c r="H43" i="348" s="1"/>
  <c r="L46" i="348"/>
  <c r="P46" i="348"/>
  <c r="M23" i="1" s="1"/>
  <c r="D43" i="348"/>
  <c r="G41" i="348"/>
  <c r="O40" i="348"/>
  <c r="K17" i="1" s="1"/>
  <c r="M41" i="348"/>
  <c r="J41" i="348"/>
  <c r="E18" i="1" s="1"/>
  <c r="O46" i="348"/>
  <c r="K23" i="1" s="1"/>
  <c r="O42" i="348"/>
  <c r="K19" i="1" s="1"/>
  <c r="F43" i="348"/>
  <c r="D42" i="348"/>
  <c r="N46" i="348"/>
  <c r="I23" i="1" s="1"/>
  <c r="L42" i="348"/>
  <c r="K40" i="348"/>
  <c r="G17" i="1" s="1"/>
  <c r="J40" i="348"/>
  <c r="E17" i="1" s="1"/>
  <c r="P41" i="348"/>
  <c r="M18" i="1" s="1"/>
  <c r="M42" i="348"/>
  <c r="O41" i="348"/>
  <c r="K18" i="1" s="1"/>
  <c r="P42" i="348"/>
  <c r="M19" i="1" s="1"/>
  <c r="L40" i="348"/>
  <c r="M40" i="348"/>
  <c r="N41" i="348"/>
  <c r="I18" i="1" s="1"/>
  <c r="N42" i="348"/>
  <c r="I19" i="1" s="1"/>
  <c r="P43" i="348"/>
  <c r="M20" i="1" s="1"/>
  <c r="J43" i="348"/>
  <c r="E20" i="1" s="1"/>
  <c r="G42" i="348"/>
  <c r="P89" i="348"/>
  <c r="E40" i="348" s="1"/>
  <c r="U95" i="348"/>
  <c r="L43" i="348"/>
  <c r="O43" i="348"/>
  <c r="K20" i="1" s="1"/>
  <c r="M43" i="348"/>
  <c r="N43" i="348"/>
  <c r="I20" i="1" s="1"/>
  <c r="K43" i="348"/>
  <c r="G20" i="1" s="1"/>
  <c r="R89" i="348"/>
  <c r="R93" i="348"/>
  <c r="P93" i="348"/>
  <c r="E44" i="348" s="1"/>
  <c r="Q93" i="348"/>
  <c r="F44" i="348" s="1"/>
  <c r="J35" i="348" l="1"/>
  <c r="E12" i="1" s="1"/>
  <c r="P35" i="348"/>
  <c r="M12" i="1" s="1"/>
  <c r="L35" i="348"/>
  <c r="K35" i="348"/>
  <c r="G12" i="1" s="1"/>
  <c r="N35" i="348"/>
  <c r="I12" i="1" s="1"/>
  <c r="O35" i="348"/>
  <c r="K12" i="1" s="1"/>
  <c r="L38" i="348"/>
  <c r="Q88" i="348"/>
  <c r="F39" i="348" s="1"/>
  <c r="Q87" i="348"/>
  <c r="F38" i="348" s="1"/>
  <c r="K38" i="348"/>
  <c r="G15" i="1" s="1"/>
  <c r="P38" i="348"/>
  <c r="M15" i="1" s="1"/>
  <c r="R88" i="348"/>
  <c r="S88" i="348" s="1"/>
  <c r="D35" i="348"/>
  <c r="L36" i="348"/>
  <c r="O38" i="348"/>
  <c r="K15" i="1" s="1"/>
  <c r="N38" i="348"/>
  <c r="I15" i="1" s="1"/>
  <c r="M38" i="348"/>
  <c r="O36" i="348"/>
  <c r="K13" i="1" s="1"/>
  <c r="J34" i="348"/>
  <c r="E11" i="1" s="1"/>
  <c r="N34" i="348"/>
  <c r="I11" i="1" s="1"/>
  <c r="S84" i="348"/>
  <c r="U84" i="348" s="1"/>
  <c r="H35" i="348" s="1"/>
  <c r="E35" i="348"/>
  <c r="J36" i="348"/>
  <c r="E13" i="1" s="1"/>
  <c r="N36" i="348"/>
  <c r="I13" i="1" s="1"/>
  <c r="P34" i="348"/>
  <c r="M11" i="1" s="1"/>
  <c r="O34" i="348"/>
  <c r="K11" i="1" s="1"/>
  <c r="K34" i="348"/>
  <c r="G11" i="1" s="1"/>
  <c r="M34" i="348"/>
  <c r="D34" i="348"/>
  <c r="S83" i="348"/>
  <c r="F35" i="348"/>
  <c r="C35" i="348"/>
  <c r="F34" i="348"/>
  <c r="E34" i="348"/>
  <c r="M36" i="348"/>
  <c r="K36" i="348"/>
  <c r="G13" i="1" s="1"/>
  <c r="W91" i="348"/>
  <c r="X91" i="348" s="1"/>
  <c r="V116" i="348" s="1"/>
  <c r="W116" i="348" s="1"/>
  <c r="I42" i="348" s="1"/>
  <c r="F36" i="348"/>
  <c r="S85" i="348"/>
  <c r="W85" i="348" s="1"/>
  <c r="X85" i="348" s="1"/>
  <c r="V110" i="348" s="1"/>
  <c r="W110" i="348" s="1"/>
  <c r="I36" i="348" s="1"/>
  <c r="P87" i="348"/>
  <c r="E38" i="348" s="1"/>
  <c r="S87" i="348"/>
  <c r="D38" i="348"/>
  <c r="E36" i="348"/>
  <c r="C36" i="348"/>
  <c r="W90" i="348"/>
  <c r="X90" i="348" s="1"/>
  <c r="V115" i="348" s="1"/>
  <c r="W115" i="348" s="1"/>
  <c r="I41" i="348" s="1"/>
  <c r="W92" i="348"/>
  <c r="X92" i="348" s="1"/>
  <c r="V117" i="348" s="1"/>
  <c r="W117" i="348" s="1"/>
  <c r="I43" i="348" s="1"/>
  <c r="G43" i="348"/>
  <c r="S93" i="348"/>
  <c r="G44" i="348" s="1"/>
  <c r="D44" i="348"/>
  <c r="S89" i="348"/>
  <c r="G40" i="348" s="1"/>
  <c r="D40" i="348"/>
  <c r="D39" i="348" l="1"/>
  <c r="W83" i="348"/>
  <c r="X83" i="348" s="1"/>
  <c r="V108" i="348" s="1"/>
  <c r="W108" i="348" s="1"/>
  <c r="I34" i="348" s="1"/>
  <c r="G35" i="348"/>
  <c r="W84" i="348"/>
  <c r="X84" i="348" s="1"/>
  <c r="V109" i="348" s="1"/>
  <c r="W109" i="348" s="1"/>
  <c r="I35" i="348" s="1"/>
  <c r="U85" i="348"/>
  <c r="H36" i="348" s="1"/>
  <c r="U83" i="348"/>
  <c r="H34" i="348" s="1"/>
  <c r="G34" i="348"/>
  <c r="G36" i="348"/>
  <c r="W87" i="348"/>
  <c r="X87" i="348" s="1"/>
  <c r="V112" i="348" s="1"/>
  <c r="W112" i="348" s="1"/>
  <c r="I38" i="348" s="1"/>
  <c r="G38" i="348"/>
  <c r="U87" i="348"/>
  <c r="H38" i="348" s="1"/>
  <c r="W88" i="348"/>
  <c r="X88" i="348" s="1"/>
  <c r="V113" i="348" s="1"/>
  <c r="W113" i="348" s="1"/>
  <c r="I39" i="348" s="1"/>
  <c r="G39" i="348"/>
  <c r="U88" i="348"/>
  <c r="H39" i="348" s="1"/>
  <c r="W89" i="348"/>
  <c r="X89" i="348" s="1"/>
  <c r="V114" i="348" s="1"/>
  <c r="W114" i="348" s="1"/>
  <c r="I40" i="348" s="1"/>
  <c r="W93" i="348"/>
  <c r="X93" i="348" s="1"/>
  <c r="V118" i="348" s="1"/>
  <c r="W118" i="348" s="1"/>
  <c r="I44" i="348" s="1"/>
  <c r="U93" i="348"/>
  <c r="H44" i="348" s="1"/>
  <c r="U89" i="348"/>
  <c r="H40" i="348" s="1"/>
</calcChain>
</file>

<file path=xl/sharedStrings.xml><?xml version="1.0" encoding="utf-8"?>
<sst xmlns="http://schemas.openxmlformats.org/spreadsheetml/2006/main" count="246" uniqueCount="125">
  <si>
    <t>lm/W</t>
  </si>
  <si>
    <t>Series</t>
  </si>
  <si>
    <t>Parallel</t>
  </si>
  <si>
    <t>Judgement</t>
  </si>
  <si>
    <t>U/L</t>
  </si>
  <si>
    <t>L/L</t>
  </si>
  <si>
    <t>IF Limit</t>
  </si>
  <si>
    <t>Tj Limit</t>
  </si>
  <si>
    <t>Tj</t>
  </si>
  <si>
    <t>2,700K</t>
  </si>
  <si>
    <t>Tc (C)</t>
    <phoneticPr fontId="2"/>
  </si>
  <si>
    <t>Product code</t>
    <phoneticPr fontId="2"/>
  </si>
  <si>
    <t>Tj (C)</t>
    <phoneticPr fontId="2"/>
  </si>
  <si>
    <t>Code</t>
    <phoneticPr fontId="2"/>
  </si>
  <si>
    <t>CITILED is a registered trademark of CITIZEN ELECTRONICS CO., LTD. Japan.</t>
    <phoneticPr fontId="2"/>
  </si>
  <si>
    <t>Series</t>
    <phoneticPr fontId="2"/>
  </si>
  <si>
    <t>CCT</t>
    <phoneticPr fontId="2"/>
  </si>
  <si>
    <t>Ra</t>
    <phoneticPr fontId="2"/>
  </si>
  <si>
    <t>CCT&amp;Ra</t>
    <phoneticPr fontId="2"/>
  </si>
  <si>
    <t>Color code</t>
    <phoneticPr fontId="2"/>
  </si>
  <si>
    <t>Phosphor</t>
    <phoneticPr fontId="2"/>
  </si>
  <si>
    <t>5,000K</t>
    <phoneticPr fontId="2"/>
  </si>
  <si>
    <t>3,000K</t>
    <phoneticPr fontId="2"/>
  </si>
  <si>
    <t>Luminous flux</t>
    <phoneticPr fontId="2"/>
  </si>
  <si>
    <t>If (mA)</t>
    <phoneticPr fontId="2"/>
  </si>
  <si>
    <t>Pd (W)</t>
    <phoneticPr fontId="2"/>
  </si>
  <si>
    <t>lm/W</t>
    <phoneticPr fontId="2"/>
  </si>
  <si>
    <t>lm</t>
    <phoneticPr fontId="2"/>
  </si>
  <si>
    <t>Forward current</t>
    <phoneticPr fontId="2"/>
  </si>
  <si>
    <t>φv (lm)</t>
    <phoneticPr fontId="2"/>
  </si>
  <si>
    <t>mA</t>
    <phoneticPr fontId="2"/>
  </si>
  <si>
    <t>Vf</t>
    <phoneticPr fontId="2"/>
  </si>
  <si>
    <t>W</t>
    <phoneticPr fontId="2"/>
  </si>
  <si>
    <t>[Luminous flux]</t>
    <phoneticPr fontId="2"/>
  </si>
  <si>
    <t>[Forward current]</t>
    <phoneticPr fontId="2"/>
  </si>
  <si>
    <t>Limit</t>
    <phoneticPr fontId="2"/>
  </si>
  <si>
    <t>IF Limit</t>
    <phoneticPr fontId="2"/>
  </si>
  <si>
    <t>L/L</t>
    <phoneticPr fontId="2"/>
  </si>
  <si>
    <t>U/L</t>
    <phoneticPr fontId="2"/>
  </si>
  <si>
    <t>Tj Limit</t>
    <phoneticPr fontId="2"/>
  </si>
  <si>
    <t>IF(x)-lm%(y)</t>
    <phoneticPr fontId="2"/>
  </si>
  <si>
    <t>lm%(x)-IF(y)</t>
    <phoneticPr fontId="2"/>
  </si>
  <si>
    <t>IF(x)-VF%(y)</t>
    <phoneticPr fontId="2"/>
  </si>
  <si>
    <t>Tc(x)-lm%(y)</t>
    <phoneticPr fontId="2"/>
  </si>
  <si>
    <t>Tc(x)-VF%(y)</t>
    <phoneticPr fontId="2"/>
  </si>
  <si>
    <t>a</t>
    <phoneticPr fontId="2"/>
  </si>
  <si>
    <t>b</t>
    <phoneticPr fontId="2"/>
  </si>
  <si>
    <t>c</t>
    <phoneticPr fontId="2"/>
  </si>
  <si>
    <t>VF</t>
    <phoneticPr fontId="2"/>
  </si>
  <si>
    <t>Tc</t>
    <phoneticPr fontId="2"/>
  </si>
  <si>
    <t>lm Tc-compensation</t>
    <phoneticPr fontId="2"/>
  </si>
  <si>
    <t>lm/die</t>
    <phoneticPr fontId="2"/>
  </si>
  <si>
    <t>lm%</t>
    <phoneticPr fontId="2"/>
  </si>
  <si>
    <t>IF/die</t>
    <phoneticPr fontId="2"/>
  </si>
  <si>
    <t>IF/PKG</t>
    <phoneticPr fontId="2"/>
  </si>
  <si>
    <t>VF Tc-compensation</t>
    <phoneticPr fontId="2"/>
  </si>
  <si>
    <t>Rj-c</t>
    <phoneticPr fontId="2"/>
  </si>
  <si>
    <t>Tj</t>
    <phoneticPr fontId="2"/>
  </si>
  <si>
    <t>Judgement</t>
    <phoneticPr fontId="2"/>
  </si>
  <si>
    <t>Shown</t>
    <phoneticPr fontId="2"/>
  </si>
  <si>
    <t>mA</t>
    <phoneticPr fontId="2"/>
  </si>
  <si>
    <t>Tc</t>
    <phoneticPr fontId="2"/>
  </si>
  <si>
    <t>d</t>
    <phoneticPr fontId="2"/>
  </si>
  <si>
    <t>d</t>
    <phoneticPr fontId="2"/>
  </si>
  <si>
    <t>Tc Limit</t>
    <phoneticPr fontId="2"/>
  </si>
  <si>
    <t>Tc Limit</t>
    <phoneticPr fontId="2"/>
  </si>
  <si>
    <t>IF Limit</t>
    <phoneticPr fontId="2"/>
  </si>
  <si>
    <t>U/L</t>
    <phoneticPr fontId="2"/>
  </si>
  <si>
    <t>Vf_min (V)</t>
  </si>
  <si>
    <t>Vf_max (V)</t>
  </si>
  <si>
    <t>Vfmin</t>
  </si>
  <si>
    <t>Vfmin</t>
    <phoneticPr fontId="2"/>
  </si>
  <si>
    <t>Vfmax</t>
  </si>
  <si>
    <t>Vfmax</t>
    <phoneticPr fontId="2"/>
  </si>
  <si>
    <t>Vftyp</t>
    <phoneticPr fontId="2"/>
  </si>
  <si>
    <t>Vf</t>
  </si>
  <si>
    <t>If</t>
  </si>
  <si>
    <t>This selection tool is the reference material for selecting suitable products.</t>
  </si>
  <si>
    <t>When electing to use a product, please be sure to request a delivery and specifications manual and check the contents.</t>
  </si>
  <si>
    <t>CITIZEN ELECTRONICS CO., LTD. shall not be liable for any disadvantages or damages, which your company may receive, resulting from the use of selection tool.</t>
  </si>
  <si>
    <t>Product names and specifications in this selection tool are subject to change without notice for the purpose of improvement, or manufacturing may be discontinued.</t>
  </si>
  <si>
    <t>Vf (V)</t>
    <phoneticPr fontId="2"/>
  </si>
  <si>
    <t>Vf (V)</t>
    <phoneticPr fontId="2"/>
  </si>
  <si>
    <t>4,000K</t>
    <phoneticPr fontId="2"/>
  </si>
  <si>
    <t>3,500K</t>
    <phoneticPr fontId="2"/>
  </si>
  <si>
    <t>NA</t>
    <phoneticPr fontId="2"/>
  </si>
  <si>
    <t>傾き</t>
    <rPh sb="0" eb="1">
      <t>カタム</t>
    </rPh>
    <phoneticPr fontId="15"/>
  </si>
  <si>
    <t>切片</t>
    <rPh sb="0" eb="2">
      <t>セッペン</t>
    </rPh>
    <phoneticPr fontId="15"/>
  </si>
  <si>
    <t>NA</t>
    <phoneticPr fontId="2"/>
  </si>
  <si>
    <t>lumen</t>
    <phoneticPr fontId="2"/>
  </si>
  <si>
    <t>Total</t>
    <phoneticPr fontId="2"/>
  </si>
  <si>
    <t>Rj-c(-35%)</t>
    <phoneticPr fontId="2"/>
  </si>
  <si>
    <t>CLU701-0303C4</t>
  </si>
  <si>
    <t>CLU701-0304C4</t>
  </si>
  <si>
    <t>CLU701-1002C4</t>
  </si>
  <si>
    <t>CLU711-1204C4</t>
  </si>
  <si>
    <t>CLU721-1206C4</t>
  </si>
  <si>
    <t>CLU731-1210C4</t>
  </si>
  <si>
    <t>C4</t>
  </si>
  <si>
    <r>
      <t>Tc=25C</t>
    </r>
    <r>
      <rPr>
        <b/>
        <sz val="10"/>
        <color theme="0"/>
        <rFont val="メイリオ"/>
        <family val="3"/>
        <charset val="128"/>
      </rPr>
      <t>定格</t>
    </r>
    <r>
      <rPr>
        <b/>
        <sz val="10"/>
        <color theme="0"/>
        <rFont val="Arial"/>
        <family val="2"/>
      </rPr>
      <t>Lm</t>
    </r>
    <r>
      <rPr>
        <b/>
        <sz val="10"/>
        <color theme="0"/>
        <rFont val="メイリオ"/>
        <family val="3"/>
        <charset val="128"/>
      </rPr>
      <t>係数</t>
    </r>
    <rPh sb="6" eb="8">
      <t>テイカク</t>
    </rPh>
    <rPh sb="10" eb="12">
      <t>ケイスウ</t>
    </rPh>
    <phoneticPr fontId="14"/>
  </si>
  <si>
    <r>
      <t>y=ax</t>
    </r>
    <r>
      <rPr>
        <b/>
        <vertAlign val="superscript"/>
        <sz val="14"/>
        <rFont val="Arial"/>
        <family val="2"/>
      </rPr>
      <t>3</t>
    </r>
    <r>
      <rPr>
        <b/>
        <sz val="14"/>
        <rFont val="Arial"/>
        <family val="2"/>
      </rPr>
      <t>+bx</t>
    </r>
    <r>
      <rPr>
        <b/>
        <vertAlign val="superscript"/>
        <sz val="14"/>
        <rFont val="Arial"/>
        <family val="2"/>
      </rPr>
      <t>2</t>
    </r>
    <r>
      <rPr>
        <b/>
        <sz val="14"/>
        <rFont val="Arial"/>
        <family val="2"/>
      </rPr>
      <t>+cx+d/y=ax</t>
    </r>
    <r>
      <rPr>
        <b/>
        <vertAlign val="superscript"/>
        <sz val="14"/>
        <rFont val="Arial"/>
        <family val="2"/>
      </rPr>
      <t>2</t>
    </r>
    <r>
      <rPr>
        <b/>
        <sz val="14"/>
        <rFont val="Arial"/>
        <family val="2"/>
      </rPr>
      <t>+bx+c</t>
    </r>
    <phoneticPr fontId="2"/>
  </si>
  <si>
    <r>
      <rPr>
        <sz val="11"/>
        <rFont val="ＭＳ Ｐゴシック"/>
        <family val="3"/>
        <charset val="128"/>
      </rPr>
      <t>⊿</t>
    </r>
    <r>
      <rPr>
        <sz val="11"/>
        <rFont val="Arial"/>
        <family val="2"/>
      </rPr>
      <t>T j-c</t>
    </r>
    <phoneticPr fontId="2"/>
  </si>
  <si>
    <r>
      <t>CW23</t>
    </r>
    <r>
      <rPr>
        <b/>
        <sz val="16"/>
        <color rgb="FFFF0000"/>
        <rFont val="ＭＳ Ｐゴシック"/>
        <family val="3"/>
        <charset val="128"/>
      </rPr>
      <t>係数</t>
    </r>
    <rPh sb="4" eb="6">
      <t>ケイスウ</t>
    </rPh>
    <phoneticPr fontId="2"/>
  </si>
  <si>
    <t>0303</t>
    <phoneticPr fontId="2"/>
  </si>
  <si>
    <t>0304</t>
    <phoneticPr fontId="14"/>
  </si>
  <si>
    <t>1002</t>
    <phoneticPr fontId="14"/>
  </si>
  <si>
    <r>
      <rPr>
        <sz val="11"/>
        <color rgb="FFFF0000"/>
        <rFont val="Arial"/>
        <family val="2"/>
      </rPr>
      <t>175</t>
    </r>
    <r>
      <rPr>
        <sz val="11"/>
        <rFont val="Arial"/>
        <family val="2"/>
      </rPr>
      <t>mA,Tc25C</t>
    </r>
    <phoneticPr fontId="2"/>
  </si>
  <si>
    <r>
      <rPr>
        <sz val="11"/>
        <color rgb="FFFF0000"/>
        <rFont val="Arial"/>
        <family val="2"/>
      </rPr>
      <t>175</t>
    </r>
    <r>
      <rPr>
        <sz val="11"/>
        <rFont val="Arial"/>
        <family val="2"/>
      </rPr>
      <t>mA,Tj=85C</t>
    </r>
    <phoneticPr fontId="2"/>
  </si>
  <si>
    <t>VF</t>
    <phoneticPr fontId="2"/>
  </si>
  <si>
    <t>VF</t>
    <phoneticPr fontId="2"/>
  </si>
  <si>
    <t>175mA,Tc25C</t>
    <phoneticPr fontId="2"/>
  </si>
  <si>
    <t>50NV1</t>
  </si>
  <si>
    <t>N8</t>
  </si>
  <si>
    <t>40NV1</t>
  </si>
  <si>
    <t>35NV1</t>
  </si>
  <si>
    <t>30NV1</t>
  </si>
  <si>
    <t>27NV1</t>
  </si>
  <si>
    <t>CCT</t>
    <phoneticPr fontId="2"/>
  </si>
  <si>
    <t>-</t>
    <phoneticPr fontId="2"/>
  </si>
  <si>
    <t>2700K Natural</t>
    <phoneticPr fontId="2"/>
  </si>
  <si>
    <t>3000K Natural</t>
    <phoneticPr fontId="2"/>
  </si>
  <si>
    <t>3500K Natural</t>
    <phoneticPr fontId="2"/>
  </si>
  <si>
    <t>4000K Natural</t>
    <phoneticPr fontId="2"/>
  </si>
  <si>
    <t>5000K Natural</t>
    <phoneticPr fontId="2"/>
  </si>
  <si>
    <t>Ver1.0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</si>
</sst>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6">
    <numFmt numFmtId="176" formatCode="#&quot;℃&quot;"/>
    <numFmt numFmtId="177" formatCode="0.0%"/>
    <numFmt numFmtId="178" formatCode="0.0"/>
    <numFmt numFmtId="179" formatCode="0.0000"/>
    <numFmt numFmtId="180" formatCode="0.000"/>
    <numFmt numFmtId="181" formatCode="0.000%"/>
    <numFmt numFmtId="182" formatCode="0.0_ "/>
    <numFmt numFmtId="183" formatCode="0.0_);[Red]\(0.0\)"/>
    <numFmt numFmtId="184" formatCode="0_ "/>
    <numFmt numFmtId="185" formatCode="0_);[Red]\(0\)"/>
    <numFmt numFmtId="186" formatCode="0.0000E+00"/>
    <numFmt numFmtId="187" formatCode="0.0000.E+00"/>
    <numFmt numFmtId="188" formatCode="0.0000%"/>
    <numFmt numFmtId="189" formatCode="0.000000000000%"/>
    <numFmt numFmtId="190" formatCode="0.000000000000000000%"/>
    <numFmt numFmtId="191" formatCode="0_ ;[Red]\-0\ "/>
  </numFmts>
  <fonts count="2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color indexed="9"/>
      <name val="Arial"/>
      <family val="2"/>
    </font>
    <font>
      <b/>
      <sz val="11"/>
      <color indexed="18"/>
      <name val="Arial"/>
      <family val="2"/>
    </font>
    <font>
      <b/>
      <sz val="14"/>
      <name val="Arial"/>
      <family val="2"/>
    </font>
    <font>
      <b/>
      <vertAlign val="superscript"/>
      <sz val="14"/>
      <name val="Arial"/>
      <family val="2"/>
    </font>
    <font>
      <b/>
      <i/>
      <sz val="11"/>
      <name val="Arial"/>
      <family val="2"/>
    </font>
    <font>
      <strike/>
      <sz val="11"/>
      <name val="Arial"/>
      <family val="2"/>
    </font>
    <font>
      <sz val="6"/>
      <name val="Arial"/>
      <family val="2"/>
    </font>
    <font>
      <sz val="11"/>
      <color indexed="60"/>
      <name val="ＭＳ Ｐゴシック"/>
      <family val="3"/>
      <charset val="128"/>
    </font>
    <font>
      <b/>
      <sz val="10"/>
      <color theme="0"/>
      <name val="メイリオ"/>
      <family val="3"/>
      <charset val="128"/>
    </font>
    <font>
      <sz val="11"/>
      <color rgb="FFFF0000"/>
      <name val="Arial"/>
      <family val="2"/>
    </font>
    <font>
      <b/>
      <sz val="10"/>
      <color theme="0"/>
      <name val="Arial"/>
      <family val="2"/>
    </font>
    <font>
      <b/>
      <sz val="16"/>
      <color rgb="FFFF0000"/>
      <name val="Arial"/>
      <family val="2"/>
    </font>
    <font>
      <b/>
      <sz val="16"/>
      <color rgb="FFFF0000"/>
      <name val="ＭＳ Ｐゴシック"/>
      <family val="3"/>
      <charset val="128"/>
    </font>
    <font>
      <sz val="11"/>
      <color theme="1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 tint="-0.499984740745262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indexed="12"/>
      </left>
      <right style="medium">
        <color indexed="12"/>
      </right>
      <top style="dashed">
        <color indexed="12"/>
      </top>
      <bottom style="dashed">
        <color indexed="12"/>
      </bottom>
      <diagonal/>
    </border>
    <border>
      <left style="medium">
        <color indexed="12"/>
      </left>
      <right/>
      <top style="medium">
        <color indexed="12"/>
      </top>
      <bottom style="medium">
        <color indexed="12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12"/>
      </right>
      <top style="medium">
        <color indexed="12"/>
      </top>
      <bottom style="medium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thin">
        <color indexed="22"/>
      </left>
      <right style="thin">
        <color indexed="22"/>
      </right>
      <top style="medium">
        <color indexed="64"/>
      </top>
      <bottom style="medium">
        <color indexed="64"/>
      </bottom>
      <diagonal/>
    </border>
    <border>
      <left style="thin">
        <color indexed="22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22"/>
      </left>
      <right style="thin">
        <color indexed="22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22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1" fillId="0" borderId="0"/>
  </cellStyleXfs>
  <cellXfs count="251">
    <xf numFmtId="0" fontId="0" fillId="0" borderId="0" xfId="0"/>
    <xf numFmtId="0" fontId="4" fillId="2" borderId="0" xfId="0" applyFont="1" applyFill="1"/>
    <xf numFmtId="0" fontId="4" fillId="0" borderId="0" xfId="0" applyFont="1"/>
    <xf numFmtId="0" fontId="4" fillId="2" borderId="0" xfId="0" applyFont="1" applyFill="1" applyAlignment="1">
      <alignment vertical="center"/>
    </xf>
    <xf numFmtId="0" fontId="5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4" fillId="2" borderId="0" xfId="0" applyFont="1" applyFill="1" applyBorder="1" applyAlignment="1" applyProtection="1">
      <alignment vertical="center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38" fontId="3" fillId="3" borderId="3" xfId="2" applyFont="1" applyFill="1" applyBorder="1" applyAlignment="1" applyProtection="1">
      <alignment vertical="center"/>
      <protection locked="0"/>
    </xf>
    <xf numFmtId="176" fontId="3" fillId="2" borderId="0" xfId="0" applyNumberFormat="1" applyFont="1" applyFill="1" applyBorder="1" applyAlignment="1" applyProtection="1">
      <alignment vertical="center"/>
      <protection locked="0"/>
    </xf>
    <xf numFmtId="0" fontId="7" fillId="2" borderId="0" xfId="0" applyFont="1" applyFill="1" applyBorder="1" applyAlignment="1" applyProtection="1">
      <alignment horizontal="center" vertical="center"/>
      <protection locked="0"/>
    </xf>
    <xf numFmtId="0" fontId="4" fillId="2" borderId="0" xfId="0" applyFont="1" applyFill="1" applyBorder="1" applyAlignment="1" applyProtection="1">
      <alignment horizontal="center" vertical="center"/>
      <protection locked="0"/>
    </xf>
    <xf numFmtId="0" fontId="3" fillId="2" borderId="0" xfId="0" applyFont="1" applyFill="1" applyBorder="1" applyAlignment="1" applyProtection="1">
      <alignment vertical="center"/>
      <protection locked="0"/>
    </xf>
    <xf numFmtId="0" fontId="3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/>
    <xf numFmtId="0" fontId="7" fillId="2" borderId="0" xfId="0" applyFont="1" applyFill="1" applyAlignment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  <protection hidden="1"/>
    </xf>
    <xf numFmtId="0" fontId="3" fillId="4" borderId="4" xfId="0" applyFont="1" applyFill="1" applyBorder="1" applyAlignment="1" applyProtection="1">
      <alignment horizontal="center" vertical="center"/>
      <protection hidden="1"/>
    </xf>
    <xf numFmtId="0" fontId="3" fillId="4" borderId="5" xfId="0" applyFont="1" applyFill="1" applyBorder="1" applyAlignment="1" applyProtection="1">
      <alignment horizontal="center" vertical="center"/>
      <protection hidden="1"/>
    </xf>
    <xf numFmtId="0" fontId="3" fillId="4" borderId="6" xfId="0" applyFont="1" applyFill="1" applyBorder="1" applyAlignment="1" applyProtection="1">
      <alignment horizontal="center" vertical="center"/>
      <protection hidden="1"/>
    </xf>
    <xf numFmtId="0" fontId="3" fillId="4" borderId="7" xfId="0" applyFont="1" applyFill="1" applyBorder="1" applyAlignment="1" applyProtection="1">
      <alignment horizontal="center" vertical="center"/>
      <protection hidden="1"/>
    </xf>
    <xf numFmtId="0" fontId="3" fillId="4" borderId="8" xfId="0" applyFont="1" applyFill="1" applyBorder="1" applyAlignment="1" applyProtection="1">
      <alignment horizontal="center" vertical="center"/>
      <protection hidden="1"/>
    </xf>
    <xf numFmtId="0" fontId="9" fillId="2" borderId="0" xfId="0" applyFont="1" applyFill="1" applyAlignment="1"/>
    <xf numFmtId="0" fontId="6" fillId="2" borderId="0" xfId="0" applyFont="1" applyFill="1" applyAlignment="1">
      <alignment horizontal="right"/>
    </xf>
    <xf numFmtId="0" fontId="3" fillId="3" borderId="9" xfId="0" applyFont="1" applyFill="1" applyBorder="1" applyAlignment="1" applyProtection="1">
      <alignment horizontal="left" vertical="center"/>
      <protection hidden="1"/>
    </xf>
    <xf numFmtId="0" fontId="4" fillId="7" borderId="0" xfId="0" applyFont="1" applyFill="1" applyBorder="1" applyProtection="1">
      <protection hidden="1"/>
    </xf>
    <xf numFmtId="177" fontId="4" fillId="7" borderId="0" xfId="1" applyNumberFormat="1" applyFont="1" applyFill="1" applyBorder="1"/>
    <xf numFmtId="0" fontId="4" fillId="7" borderId="0" xfId="0" applyFont="1" applyFill="1" applyBorder="1" applyAlignment="1" applyProtection="1">
      <alignment horizontal="center" vertical="center" wrapText="1"/>
      <protection hidden="1"/>
    </xf>
    <xf numFmtId="0" fontId="7" fillId="7" borderId="0" xfId="0" applyFont="1" applyFill="1" applyBorder="1" applyAlignment="1" applyProtection="1">
      <alignment horizontal="center" vertical="center" wrapText="1"/>
      <protection hidden="1"/>
    </xf>
    <xf numFmtId="0" fontId="7" fillId="7" borderId="0" xfId="0" applyFont="1" applyFill="1" applyBorder="1" applyAlignment="1" applyProtection="1">
      <alignment horizontal="left" vertical="center"/>
      <protection hidden="1"/>
    </xf>
    <xf numFmtId="0" fontId="4" fillId="7" borderId="0" xfId="0" applyFont="1" applyFill="1" applyBorder="1" applyAlignment="1" applyProtection="1">
      <alignment horizontal="left" vertical="center" wrapText="1"/>
      <protection hidden="1"/>
    </xf>
    <xf numFmtId="0" fontId="7" fillId="7" borderId="0" xfId="0" applyFont="1" applyFill="1" applyBorder="1" applyAlignment="1" applyProtection="1">
      <alignment horizontal="left" vertical="center" wrapText="1"/>
      <protection hidden="1"/>
    </xf>
    <xf numFmtId="0" fontId="4" fillId="7" borderId="0" xfId="0" applyFont="1" applyFill="1"/>
    <xf numFmtId="0" fontId="7" fillId="7" borderId="0" xfId="0" applyFont="1" applyFill="1" applyAlignment="1">
      <alignment horizontal="center" vertical="center"/>
    </xf>
    <xf numFmtId="0" fontId="4" fillId="7" borderId="0" xfId="0" applyFont="1" applyFill="1" applyAlignment="1">
      <alignment vertical="center"/>
    </xf>
    <xf numFmtId="182" fontId="4" fillId="7" borderId="0" xfId="0" applyNumberFormat="1" applyFont="1" applyFill="1" applyAlignment="1">
      <alignment vertical="center"/>
    </xf>
    <xf numFmtId="0" fontId="7" fillId="7" borderId="0" xfId="0" applyFont="1" applyFill="1" applyAlignment="1">
      <alignment vertical="center"/>
    </xf>
    <xf numFmtId="177" fontId="4" fillId="7" borderId="0" xfId="1" applyNumberFormat="1" applyFont="1" applyFill="1"/>
    <xf numFmtId="9" fontId="4" fillId="7" borderId="0" xfId="0" applyNumberFormat="1" applyFont="1" applyFill="1"/>
    <xf numFmtId="0" fontId="4" fillId="7" borderId="0" xfId="0" applyFont="1" applyFill="1" applyAlignment="1">
      <alignment horizontal="left"/>
    </xf>
    <xf numFmtId="0" fontId="4" fillId="7" borderId="0" xfId="0" applyFont="1" applyFill="1" applyAlignment="1">
      <alignment horizontal="center" vertical="center"/>
    </xf>
    <xf numFmtId="178" fontId="4" fillId="7" borderId="0" xfId="0" applyNumberFormat="1" applyFont="1" applyFill="1" applyAlignment="1">
      <alignment horizontal="center" vertical="center"/>
    </xf>
    <xf numFmtId="183" fontId="4" fillId="7" borderId="0" xfId="0" applyNumberFormat="1" applyFont="1" applyFill="1" applyAlignment="1">
      <alignment vertical="center"/>
    </xf>
    <xf numFmtId="0" fontId="4" fillId="7" borderId="0" xfId="0" applyNumberFormat="1" applyFont="1" applyFill="1" applyAlignment="1">
      <alignment vertical="center"/>
    </xf>
    <xf numFmtId="178" fontId="4" fillId="7" borderId="0" xfId="0" applyNumberFormat="1" applyFont="1" applyFill="1" applyAlignment="1">
      <alignment vertical="center"/>
    </xf>
    <xf numFmtId="0" fontId="4" fillId="7" borderId="0" xfId="0" applyFont="1" applyFill="1" applyBorder="1" applyAlignment="1" applyProtection="1">
      <alignment vertical="center" wrapText="1"/>
      <protection hidden="1"/>
    </xf>
    <xf numFmtId="0" fontId="4" fillId="7" borderId="0" xfId="0" applyFont="1" applyFill="1" applyBorder="1" applyAlignment="1" applyProtection="1">
      <alignment vertical="center"/>
      <protection hidden="1"/>
    </xf>
    <xf numFmtId="0" fontId="4" fillId="7" borderId="0" xfId="0" applyFont="1" applyFill="1" applyBorder="1" applyAlignment="1">
      <alignment vertical="center"/>
    </xf>
    <xf numFmtId="0" fontId="4" fillId="7" borderId="0" xfId="0" applyFont="1" applyFill="1" applyBorder="1" applyAlignment="1" applyProtection="1">
      <alignment vertical="center" shrinkToFit="1"/>
      <protection hidden="1"/>
    </xf>
    <xf numFmtId="0" fontId="6" fillId="7" borderId="0" xfId="0" applyFont="1" applyFill="1" applyBorder="1" applyAlignment="1" applyProtection="1">
      <alignment vertical="center" shrinkToFit="1"/>
      <protection hidden="1"/>
    </xf>
    <xf numFmtId="177" fontId="4" fillId="7" borderId="0" xfId="1" applyNumberFormat="1" applyFont="1" applyFill="1" applyBorder="1" applyAlignment="1">
      <alignment vertical="center"/>
    </xf>
    <xf numFmtId="0" fontId="3" fillId="7" borderId="0" xfId="0" applyFont="1" applyFill="1" applyBorder="1" applyAlignment="1" applyProtection="1">
      <alignment vertical="center"/>
      <protection hidden="1"/>
    </xf>
    <xf numFmtId="1" fontId="4" fillId="7" borderId="0" xfId="0" applyNumberFormat="1" applyFont="1" applyFill="1" applyBorder="1" applyAlignment="1" applyProtection="1">
      <alignment vertical="center"/>
      <protection hidden="1"/>
    </xf>
    <xf numFmtId="178" fontId="4" fillId="7" borderId="0" xfId="0" applyNumberFormat="1" applyFont="1" applyFill="1" applyBorder="1" applyAlignment="1" applyProtection="1">
      <alignment vertical="center"/>
      <protection hidden="1"/>
    </xf>
    <xf numFmtId="0" fontId="10" fillId="7" borderId="0" xfId="0" applyFont="1" applyFill="1" applyBorder="1" applyAlignment="1">
      <alignment vertical="center"/>
    </xf>
    <xf numFmtId="0" fontId="4" fillId="7" borderId="0" xfId="0" applyFont="1" applyFill="1" applyBorder="1" applyAlignment="1">
      <alignment horizontal="center" vertical="center"/>
    </xf>
    <xf numFmtId="188" fontId="4" fillId="7" borderId="0" xfId="1" applyNumberFormat="1" applyFont="1" applyFill="1" applyBorder="1" applyAlignment="1" applyProtection="1">
      <alignment vertical="center"/>
      <protection hidden="1"/>
    </xf>
    <xf numFmtId="9" fontId="4" fillId="7" borderId="0" xfId="1" applyFont="1" applyFill="1" applyBorder="1" applyAlignment="1" applyProtection="1">
      <alignment vertical="center"/>
      <protection hidden="1"/>
    </xf>
    <xf numFmtId="188" fontId="4" fillId="7" borderId="0" xfId="0" applyNumberFormat="1" applyFont="1" applyFill="1" applyBorder="1" applyAlignment="1" applyProtection="1">
      <alignment vertical="center"/>
      <protection hidden="1"/>
    </xf>
    <xf numFmtId="190" fontId="4" fillId="7" borderId="0" xfId="0" applyNumberFormat="1" applyFont="1" applyFill="1" applyBorder="1" applyAlignment="1" applyProtection="1">
      <alignment vertical="center"/>
      <protection hidden="1"/>
    </xf>
    <xf numFmtId="0" fontId="4" fillId="7" borderId="0" xfId="0" applyFont="1" applyFill="1" applyBorder="1" applyAlignment="1" applyProtection="1">
      <alignment horizontal="center" vertical="center"/>
      <protection hidden="1"/>
    </xf>
    <xf numFmtId="2" fontId="4" fillId="7" borderId="0" xfId="0" applyNumberFormat="1" applyFont="1" applyFill="1" applyBorder="1" applyAlignment="1" applyProtection="1">
      <alignment vertical="center"/>
      <protection hidden="1"/>
    </xf>
    <xf numFmtId="10" fontId="4" fillId="7" borderId="0" xfId="0" applyNumberFormat="1" applyFont="1" applyFill="1" applyBorder="1" applyAlignment="1" applyProtection="1">
      <alignment vertical="center"/>
      <protection hidden="1"/>
    </xf>
    <xf numFmtId="179" fontId="4" fillId="7" borderId="0" xfId="0" applyNumberFormat="1" applyFont="1" applyFill="1" applyBorder="1" applyAlignment="1" applyProtection="1">
      <alignment vertical="center"/>
      <protection hidden="1"/>
    </xf>
    <xf numFmtId="9" fontId="4" fillId="7" borderId="0" xfId="0" applyNumberFormat="1" applyFont="1" applyFill="1" applyBorder="1" applyAlignment="1" applyProtection="1">
      <alignment vertical="center"/>
      <protection hidden="1"/>
    </xf>
    <xf numFmtId="182" fontId="3" fillId="7" borderId="0" xfId="0" applyNumberFormat="1" applyFont="1" applyFill="1" applyBorder="1" applyAlignment="1">
      <alignment vertical="center"/>
    </xf>
    <xf numFmtId="189" fontId="4" fillId="7" borderId="0" xfId="0" applyNumberFormat="1" applyFont="1" applyFill="1" applyBorder="1" applyAlignment="1">
      <alignment vertical="center"/>
    </xf>
    <xf numFmtId="38" fontId="12" fillId="7" borderId="0" xfId="0" applyNumberFormat="1" applyFont="1" applyFill="1" applyBorder="1" applyAlignment="1" applyProtection="1">
      <alignment vertical="center"/>
      <protection hidden="1"/>
    </xf>
    <xf numFmtId="177" fontId="4" fillId="7" borderId="0" xfId="1" applyNumberFormat="1" applyFont="1" applyFill="1" applyBorder="1" applyAlignment="1" applyProtection="1">
      <alignment vertical="center"/>
      <protection hidden="1"/>
    </xf>
    <xf numFmtId="1" fontId="12" fillId="7" borderId="0" xfId="0" applyNumberFormat="1" applyFont="1" applyFill="1" applyBorder="1" applyAlignment="1" applyProtection="1">
      <alignment vertical="center"/>
      <protection hidden="1"/>
    </xf>
    <xf numFmtId="181" fontId="4" fillId="7" borderId="0" xfId="1" applyNumberFormat="1" applyFont="1" applyFill="1" applyBorder="1" applyAlignment="1" applyProtection="1">
      <alignment vertical="center"/>
      <protection hidden="1"/>
    </xf>
    <xf numFmtId="0" fontId="4" fillId="7" borderId="0" xfId="0" applyFont="1" applyFill="1" applyBorder="1" applyAlignment="1" applyProtection="1">
      <alignment horizontal="right" vertical="center"/>
      <protection hidden="1"/>
    </xf>
    <xf numFmtId="0" fontId="3" fillId="7" borderId="0" xfId="0" applyFont="1" applyFill="1" applyBorder="1" applyAlignment="1" applyProtection="1">
      <alignment horizontal="center" vertical="center"/>
      <protection hidden="1"/>
    </xf>
    <xf numFmtId="0" fontId="4" fillId="8" borderId="0" xfId="0" applyFont="1" applyFill="1" applyBorder="1" applyAlignment="1" applyProtection="1">
      <alignment horizontal="center" vertical="center"/>
      <protection hidden="1"/>
    </xf>
    <xf numFmtId="0" fontId="3" fillId="7" borderId="0" xfId="0" applyFont="1" applyFill="1" applyBorder="1" applyAlignment="1" applyProtection="1">
      <alignment horizontal="center" vertical="center" shrinkToFit="1"/>
      <protection hidden="1"/>
    </xf>
    <xf numFmtId="1" fontId="3" fillId="7" borderId="0" xfId="0" applyNumberFormat="1" applyFont="1" applyFill="1" applyBorder="1" applyAlignment="1" applyProtection="1">
      <alignment vertical="center"/>
      <protection hidden="1"/>
    </xf>
    <xf numFmtId="182" fontId="4" fillId="7" borderId="0" xfId="1" applyNumberFormat="1" applyFont="1" applyFill="1" applyBorder="1" applyAlignment="1" applyProtection="1">
      <alignment vertical="center"/>
      <protection hidden="1"/>
    </xf>
    <xf numFmtId="182" fontId="3" fillId="7" borderId="0" xfId="1" applyNumberFormat="1" applyFont="1" applyFill="1" applyBorder="1" applyAlignment="1" applyProtection="1">
      <alignment vertical="center"/>
      <protection hidden="1"/>
    </xf>
    <xf numFmtId="178" fontId="3" fillId="7" borderId="0" xfId="0" applyNumberFormat="1" applyFont="1" applyFill="1" applyBorder="1" applyAlignment="1" applyProtection="1">
      <alignment vertical="center"/>
      <protection hidden="1"/>
    </xf>
    <xf numFmtId="187" fontId="4" fillId="7" borderId="0" xfId="0" applyNumberFormat="1" applyFont="1" applyFill="1" applyBorder="1" applyAlignment="1">
      <alignment vertical="center"/>
    </xf>
    <xf numFmtId="179" fontId="13" fillId="7" borderId="0" xfId="0" applyNumberFormat="1" applyFont="1" applyFill="1" applyBorder="1" applyAlignment="1" applyProtection="1">
      <alignment vertical="center"/>
      <protection hidden="1"/>
    </xf>
    <xf numFmtId="9" fontId="13" fillId="7" borderId="0" xfId="0" applyNumberFormat="1" applyFont="1" applyFill="1" applyBorder="1" applyAlignment="1" applyProtection="1">
      <alignment vertical="center"/>
      <protection hidden="1"/>
    </xf>
    <xf numFmtId="178" fontId="13" fillId="7" borderId="0" xfId="0" applyNumberFormat="1" applyFont="1" applyFill="1" applyBorder="1" applyAlignment="1" applyProtection="1">
      <alignment vertical="center"/>
      <protection hidden="1"/>
    </xf>
    <xf numFmtId="177" fontId="3" fillId="7" borderId="0" xfId="1" applyNumberFormat="1" applyFont="1" applyFill="1" applyBorder="1" applyAlignment="1" applyProtection="1">
      <alignment vertical="center"/>
      <protection hidden="1"/>
    </xf>
    <xf numFmtId="177" fontId="4" fillId="7" borderId="0" xfId="0" applyNumberFormat="1" applyFont="1" applyFill="1" applyBorder="1" applyAlignment="1" applyProtection="1">
      <alignment vertical="center"/>
      <protection hidden="1"/>
    </xf>
    <xf numFmtId="0" fontId="12" fillId="7" borderId="0" xfId="0" applyFont="1" applyFill="1" applyBorder="1" applyAlignment="1" applyProtection="1">
      <alignment vertical="center"/>
      <protection hidden="1"/>
    </xf>
    <xf numFmtId="180" fontId="12" fillId="7" borderId="0" xfId="0" applyNumberFormat="1" applyFont="1" applyFill="1" applyBorder="1" applyAlignment="1" applyProtection="1">
      <alignment vertical="center"/>
      <protection hidden="1"/>
    </xf>
    <xf numFmtId="184" fontId="3" fillId="7" borderId="0" xfId="0" applyNumberFormat="1" applyFont="1" applyFill="1" applyBorder="1" applyAlignment="1">
      <alignment vertical="center"/>
    </xf>
    <xf numFmtId="180" fontId="3" fillId="7" borderId="0" xfId="0" applyNumberFormat="1" applyFont="1" applyFill="1" applyBorder="1" applyAlignment="1" applyProtection="1">
      <alignment vertical="center"/>
      <protection hidden="1"/>
    </xf>
    <xf numFmtId="186" fontId="7" fillId="7" borderId="0" xfId="0" applyNumberFormat="1" applyFont="1" applyFill="1" applyBorder="1" applyAlignment="1">
      <alignment vertical="center"/>
    </xf>
    <xf numFmtId="0" fontId="7" fillId="7" borderId="0" xfId="0" applyFont="1" applyFill="1" applyBorder="1" applyAlignment="1" applyProtection="1">
      <alignment vertical="center"/>
      <protection hidden="1"/>
    </xf>
    <xf numFmtId="1" fontId="4" fillId="7" borderId="10" xfId="0" applyNumberFormat="1" applyFont="1" applyFill="1" applyBorder="1" applyAlignment="1" applyProtection="1">
      <alignment vertical="center"/>
      <protection hidden="1"/>
    </xf>
    <xf numFmtId="178" fontId="4" fillId="7" borderId="10" xfId="0" applyNumberFormat="1" applyFont="1" applyFill="1" applyBorder="1" applyAlignment="1" applyProtection="1">
      <alignment vertical="center"/>
      <protection hidden="1"/>
    </xf>
    <xf numFmtId="0" fontId="4" fillId="9" borderId="10" xfId="0" applyFont="1" applyFill="1" applyBorder="1" applyAlignment="1" applyProtection="1">
      <alignment vertical="center"/>
      <protection hidden="1"/>
    </xf>
    <xf numFmtId="0" fontId="4" fillId="10" borderId="10" xfId="0" applyFont="1" applyFill="1" applyBorder="1" applyAlignment="1" applyProtection="1">
      <alignment vertical="center"/>
      <protection hidden="1"/>
    </xf>
    <xf numFmtId="0" fontId="4" fillId="7" borderId="10" xfId="0" applyFont="1" applyFill="1" applyBorder="1" applyAlignment="1" applyProtection="1">
      <alignment horizontal="center" vertical="center"/>
      <protection hidden="1"/>
    </xf>
    <xf numFmtId="0" fontId="4" fillId="11" borderId="10" xfId="0" applyFont="1" applyFill="1" applyBorder="1" applyAlignment="1" applyProtection="1">
      <alignment horizontal="center" vertical="center"/>
      <protection hidden="1"/>
    </xf>
    <xf numFmtId="0" fontId="4" fillId="12" borderId="10" xfId="0" applyFont="1" applyFill="1" applyBorder="1" applyAlignment="1" applyProtection="1">
      <alignment horizontal="center" vertical="center"/>
      <protection hidden="1"/>
    </xf>
    <xf numFmtId="0" fontId="4" fillId="13" borderId="10" xfId="0" applyFont="1" applyFill="1" applyBorder="1" applyAlignment="1" applyProtection="1">
      <alignment horizontal="center" vertical="center"/>
      <protection hidden="1"/>
    </xf>
    <xf numFmtId="0" fontId="4" fillId="13" borderId="10" xfId="0" applyFont="1" applyFill="1" applyBorder="1" applyAlignment="1" applyProtection="1">
      <alignment vertical="center"/>
      <protection hidden="1"/>
    </xf>
    <xf numFmtId="0" fontId="4" fillId="13" borderId="10" xfId="0" applyFont="1" applyFill="1" applyBorder="1" applyAlignment="1">
      <alignment vertical="center"/>
    </xf>
    <xf numFmtId="0" fontId="4" fillId="14" borderId="10" xfId="0" applyFont="1" applyFill="1" applyBorder="1" applyAlignment="1" applyProtection="1">
      <alignment horizontal="center" vertical="center"/>
      <protection hidden="1"/>
    </xf>
    <xf numFmtId="0" fontId="4" fillId="14" borderId="10" xfId="0" applyFont="1" applyFill="1" applyBorder="1" applyAlignment="1">
      <alignment vertical="center"/>
    </xf>
    <xf numFmtId="0" fontId="4" fillId="15" borderId="10" xfId="0" applyFont="1" applyFill="1" applyBorder="1" applyAlignment="1">
      <alignment vertical="center"/>
    </xf>
    <xf numFmtId="2" fontId="4" fillId="7" borderId="10" xfId="0" applyNumberFormat="1" applyFont="1" applyFill="1" applyBorder="1" applyAlignment="1" applyProtection="1">
      <alignment vertical="center"/>
      <protection hidden="1"/>
    </xf>
    <xf numFmtId="0" fontId="4" fillId="2" borderId="11" xfId="0" applyFont="1" applyFill="1" applyBorder="1" applyAlignment="1" applyProtection="1">
      <alignment vertical="center"/>
      <protection locked="0"/>
    </xf>
    <xf numFmtId="1" fontId="4" fillId="16" borderId="10" xfId="0" applyNumberFormat="1" applyFont="1" applyFill="1" applyBorder="1" applyAlignment="1" applyProtection="1">
      <alignment horizontal="center" vertical="center"/>
      <protection hidden="1"/>
    </xf>
    <xf numFmtId="1" fontId="4" fillId="7" borderId="10" xfId="0" applyNumberFormat="1" applyFont="1" applyFill="1" applyBorder="1" applyAlignment="1" applyProtection="1">
      <alignment horizontal="center" vertical="center"/>
      <protection hidden="1"/>
    </xf>
    <xf numFmtId="9" fontId="4" fillId="7" borderId="0" xfId="0" applyNumberFormat="1" applyFont="1" applyFill="1" applyBorder="1" applyAlignment="1" applyProtection="1">
      <alignment horizontal="center" vertical="center"/>
      <protection hidden="1"/>
    </xf>
    <xf numFmtId="9" fontId="4" fillId="7" borderId="0" xfId="1" applyFont="1" applyFill="1" applyBorder="1" applyAlignment="1" applyProtection="1">
      <alignment horizontal="center" vertical="center"/>
      <protection hidden="1"/>
    </xf>
    <xf numFmtId="9" fontId="4" fillId="7" borderId="0" xfId="0" applyNumberFormat="1" applyFont="1" applyFill="1" applyBorder="1" applyAlignment="1">
      <alignment horizontal="center" vertical="center"/>
    </xf>
    <xf numFmtId="1" fontId="4" fillId="0" borderId="10" xfId="0" applyNumberFormat="1" applyFont="1" applyFill="1" applyBorder="1" applyAlignment="1" applyProtection="1">
      <alignment horizontal="center" vertical="center"/>
      <protection hidden="1"/>
    </xf>
    <xf numFmtId="40" fontId="4" fillId="7" borderId="0" xfId="2" applyNumberFormat="1" applyFont="1" applyFill="1" applyBorder="1" applyProtection="1">
      <protection hidden="1"/>
    </xf>
    <xf numFmtId="0" fontId="4" fillId="7" borderId="0" xfId="0" applyFont="1" applyFill="1" applyBorder="1"/>
    <xf numFmtId="1" fontId="4" fillId="8" borderId="10" xfId="0" applyNumberFormat="1" applyFont="1" applyFill="1" applyBorder="1" applyAlignment="1" applyProtection="1">
      <alignment horizontal="center" vertical="center"/>
      <protection hidden="1"/>
    </xf>
    <xf numFmtId="0" fontId="4" fillId="8" borderId="0" xfId="0" applyFont="1" applyFill="1" applyBorder="1" applyAlignment="1" applyProtection="1">
      <alignment vertical="center"/>
      <protection hidden="1"/>
    </xf>
    <xf numFmtId="186" fontId="7" fillId="8" borderId="0" xfId="0" applyNumberFormat="1" applyFont="1" applyFill="1" applyBorder="1" applyAlignment="1">
      <alignment vertical="center"/>
    </xf>
    <xf numFmtId="0" fontId="4" fillId="8" borderId="0" xfId="0" applyFont="1" applyFill="1" applyBorder="1" applyAlignment="1">
      <alignment vertical="center"/>
    </xf>
    <xf numFmtId="0" fontId="6" fillId="8" borderId="0" xfId="0" applyFont="1" applyFill="1" applyBorder="1" applyAlignment="1" applyProtection="1">
      <alignment vertical="center" shrinkToFit="1"/>
      <protection hidden="1"/>
    </xf>
    <xf numFmtId="191" fontId="4" fillId="8" borderId="10" xfId="2" applyNumberFormat="1" applyFont="1" applyFill="1" applyBorder="1" applyAlignment="1" applyProtection="1">
      <alignment horizontal="center" vertical="center"/>
      <protection hidden="1"/>
    </xf>
    <xf numFmtId="184" fontId="4" fillId="8" borderId="10" xfId="0" applyNumberFormat="1" applyFont="1" applyFill="1" applyBorder="1" applyAlignment="1">
      <alignment horizontal="center" vertical="center"/>
    </xf>
    <xf numFmtId="185" fontId="4" fillId="8" borderId="10" xfId="0" applyNumberFormat="1" applyFont="1" applyFill="1" applyBorder="1" applyAlignment="1">
      <alignment horizontal="center" vertical="center"/>
    </xf>
    <xf numFmtId="185" fontId="4" fillId="8" borderId="10" xfId="0" applyNumberFormat="1" applyFont="1" applyFill="1" applyBorder="1" applyAlignment="1" applyProtection="1">
      <alignment horizontal="center" vertical="center"/>
      <protection hidden="1"/>
    </xf>
    <xf numFmtId="184" fontId="4" fillId="8" borderId="10" xfId="0" applyNumberFormat="1" applyFont="1" applyFill="1" applyBorder="1" applyAlignment="1" applyProtection="1">
      <alignment horizontal="center" vertical="center"/>
      <protection hidden="1"/>
    </xf>
    <xf numFmtId="0" fontId="17" fillId="7" borderId="0" xfId="0" applyFont="1" applyFill="1" applyBorder="1" applyAlignment="1" applyProtection="1">
      <alignment vertical="center"/>
      <protection hidden="1"/>
    </xf>
    <xf numFmtId="0" fontId="4" fillId="8" borderId="0" xfId="0" applyFont="1" applyFill="1" applyBorder="1" applyAlignment="1" applyProtection="1">
      <alignment vertical="center" wrapText="1"/>
      <protection hidden="1"/>
    </xf>
    <xf numFmtId="0" fontId="7" fillId="8" borderId="0" xfId="0" applyFont="1" applyFill="1" applyBorder="1" applyAlignment="1" applyProtection="1">
      <alignment vertical="center" wrapText="1"/>
      <protection hidden="1"/>
    </xf>
    <xf numFmtId="2" fontId="4" fillId="8" borderId="0" xfId="0" applyNumberFormat="1" applyFont="1" applyFill="1" applyBorder="1" applyAlignment="1" applyProtection="1">
      <alignment vertical="center"/>
      <protection hidden="1"/>
    </xf>
    <xf numFmtId="0" fontId="3" fillId="8" borderId="0" xfId="0" applyFont="1" applyFill="1" applyBorder="1" applyAlignment="1" applyProtection="1">
      <alignment vertical="center"/>
      <protection hidden="1"/>
    </xf>
    <xf numFmtId="0" fontId="4" fillId="18" borderId="10" xfId="0" applyFont="1" applyFill="1" applyBorder="1" applyAlignment="1" applyProtection="1">
      <alignment horizontal="center" vertical="center"/>
      <protection hidden="1"/>
    </xf>
    <xf numFmtId="9" fontId="3" fillId="18" borderId="0" xfId="1" applyNumberFormat="1" applyFont="1" applyFill="1" applyBorder="1" applyAlignment="1" applyProtection="1">
      <alignment vertical="center"/>
      <protection hidden="1"/>
    </xf>
    <xf numFmtId="182" fontId="3" fillId="18" borderId="0" xfId="1" applyNumberFormat="1" applyFont="1" applyFill="1" applyBorder="1" applyAlignment="1" applyProtection="1">
      <alignment vertical="center"/>
      <protection hidden="1"/>
    </xf>
    <xf numFmtId="0" fontId="18" fillId="15" borderId="0" xfId="3" applyFont="1" applyFill="1" applyAlignment="1">
      <alignment vertical="center"/>
    </xf>
    <xf numFmtId="0" fontId="18" fillId="15" borderId="0" xfId="3" quotePrefix="1" applyFont="1" applyFill="1" applyAlignment="1">
      <alignment horizontal="right" vertical="center"/>
    </xf>
    <xf numFmtId="177" fontId="18" fillId="15" borderId="0" xfId="1" applyNumberFormat="1" applyFont="1" applyFill="1" applyAlignment="1">
      <alignment vertical="center"/>
    </xf>
    <xf numFmtId="0" fontId="18" fillId="15" borderId="0" xfId="3" applyFont="1" applyFill="1"/>
    <xf numFmtId="0" fontId="4" fillId="20" borderId="10" xfId="0" applyFont="1" applyFill="1" applyBorder="1" applyAlignment="1" applyProtection="1">
      <alignment horizontal="center" vertical="center"/>
      <protection hidden="1"/>
    </xf>
    <xf numFmtId="40" fontId="4" fillId="8" borderId="0" xfId="2" applyNumberFormat="1" applyFont="1" applyFill="1" applyBorder="1" applyProtection="1">
      <protection hidden="1"/>
    </xf>
    <xf numFmtId="178" fontId="4" fillId="14" borderId="0" xfId="0" applyNumberFormat="1" applyFont="1" applyFill="1" applyBorder="1" applyAlignment="1" applyProtection="1">
      <alignment vertical="center"/>
      <protection hidden="1"/>
    </xf>
    <xf numFmtId="1" fontId="12" fillId="14" borderId="0" xfId="0" applyNumberFormat="1" applyFont="1" applyFill="1" applyBorder="1" applyAlignment="1" applyProtection="1">
      <alignment vertical="center"/>
      <protection hidden="1"/>
    </xf>
    <xf numFmtId="1" fontId="21" fillId="8" borderId="10" xfId="0" applyNumberFormat="1" applyFont="1" applyFill="1" applyBorder="1" applyAlignment="1" applyProtection="1">
      <alignment horizontal="center" vertical="center"/>
      <protection hidden="1"/>
    </xf>
    <xf numFmtId="178" fontId="17" fillId="8" borderId="0" xfId="0" applyNumberFormat="1" applyFont="1" applyFill="1" applyBorder="1" applyAlignment="1" applyProtection="1">
      <alignment vertical="center"/>
      <protection hidden="1"/>
    </xf>
    <xf numFmtId="2" fontId="17" fillId="8" borderId="0" xfId="0" applyNumberFormat="1" applyFont="1" applyFill="1" applyBorder="1" applyAlignment="1" applyProtection="1">
      <alignment vertical="center"/>
      <protection hidden="1"/>
    </xf>
    <xf numFmtId="2" fontId="4" fillId="8" borderId="0" xfId="0" applyNumberFormat="1" applyFont="1" applyFill="1" applyBorder="1" applyAlignment="1">
      <alignment vertical="center"/>
    </xf>
    <xf numFmtId="0" fontId="4" fillId="23" borderId="0" xfId="0" applyFont="1" applyFill="1" applyBorder="1" applyAlignment="1" applyProtection="1">
      <alignment vertical="center"/>
      <protection hidden="1"/>
    </xf>
    <xf numFmtId="0" fontId="7" fillId="2" borderId="0" xfId="0" applyFont="1" applyFill="1" applyAlignment="1">
      <alignment horizontal="right"/>
    </xf>
    <xf numFmtId="185" fontId="6" fillId="21" borderId="34" xfId="0" applyNumberFormat="1" applyFont="1" applyFill="1" applyBorder="1" applyAlignment="1" applyProtection="1">
      <alignment horizontal="right" vertical="center"/>
      <protection hidden="1"/>
    </xf>
    <xf numFmtId="185" fontId="6" fillId="21" borderId="35" xfId="0" applyNumberFormat="1" applyFont="1" applyFill="1" applyBorder="1" applyAlignment="1" applyProtection="1">
      <alignment horizontal="right" vertical="center"/>
      <protection hidden="1"/>
    </xf>
    <xf numFmtId="0" fontId="3" fillId="5" borderId="12" xfId="0" applyFont="1" applyFill="1" applyBorder="1" applyAlignment="1" applyProtection="1">
      <alignment horizontal="center" vertical="center"/>
      <protection hidden="1"/>
    </xf>
    <xf numFmtId="0" fontId="3" fillId="5" borderId="13" xfId="0" applyFont="1" applyFill="1" applyBorder="1" applyAlignment="1" applyProtection="1">
      <alignment horizontal="center" vertical="center"/>
      <protection hidden="1"/>
    </xf>
    <xf numFmtId="0" fontId="3" fillId="5" borderId="14" xfId="0" applyFont="1" applyFill="1" applyBorder="1" applyAlignment="1" applyProtection="1">
      <alignment horizontal="center" vertical="center"/>
      <protection hidden="1"/>
    </xf>
    <xf numFmtId="185" fontId="6" fillId="5" borderId="12" xfId="2" applyNumberFormat="1" applyFont="1" applyFill="1" applyBorder="1" applyAlignment="1" applyProtection="1">
      <alignment horizontal="right" vertical="center"/>
      <protection hidden="1"/>
    </xf>
    <xf numFmtId="185" fontId="6" fillId="5" borderId="15" xfId="2" applyNumberFormat="1" applyFont="1" applyFill="1" applyBorder="1" applyAlignment="1" applyProtection="1">
      <alignment horizontal="right" vertical="center"/>
      <protection hidden="1"/>
    </xf>
    <xf numFmtId="183" fontId="6" fillId="5" borderId="16" xfId="0" applyNumberFormat="1" applyFont="1" applyFill="1" applyBorder="1" applyAlignment="1" applyProtection="1">
      <alignment horizontal="right" vertical="center"/>
      <protection hidden="1"/>
    </xf>
    <xf numFmtId="183" fontId="6" fillId="5" borderId="15" xfId="0" applyNumberFormat="1" applyFont="1" applyFill="1" applyBorder="1" applyAlignment="1" applyProtection="1">
      <alignment horizontal="right" vertical="center"/>
      <protection hidden="1"/>
    </xf>
    <xf numFmtId="185" fontId="6" fillId="5" borderId="16" xfId="0" applyNumberFormat="1" applyFont="1" applyFill="1" applyBorder="1" applyAlignment="1" applyProtection="1">
      <alignment horizontal="right" vertical="center"/>
      <protection hidden="1"/>
    </xf>
    <xf numFmtId="185" fontId="7" fillId="0" borderId="15" xfId="0" applyNumberFormat="1" applyFont="1" applyBorder="1" applyAlignment="1">
      <alignment vertical="center"/>
    </xf>
    <xf numFmtId="185" fontId="6" fillId="5" borderId="14" xfId="0" applyNumberFormat="1" applyFont="1" applyFill="1" applyBorder="1" applyAlignment="1" applyProtection="1">
      <alignment horizontal="right" vertical="center"/>
      <protection hidden="1"/>
    </xf>
    <xf numFmtId="185" fontId="6" fillId="17" borderId="17" xfId="0" applyNumberFormat="1" applyFont="1" applyFill="1" applyBorder="1" applyAlignment="1" applyProtection="1">
      <alignment horizontal="right" vertical="center"/>
      <protection hidden="1"/>
    </xf>
    <xf numFmtId="185" fontId="6" fillId="17" borderId="18" xfId="0" applyNumberFormat="1" applyFont="1" applyFill="1" applyBorder="1" applyAlignment="1" applyProtection="1">
      <alignment horizontal="right" vertical="center"/>
      <protection hidden="1"/>
    </xf>
    <xf numFmtId="185" fontId="6" fillId="5" borderId="17" xfId="0" applyNumberFormat="1" applyFont="1" applyFill="1" applyBorder="1" applyAlignment="1" applyProtection="1">
      <alignment horizontal="right" vertical="center"/>
      <protection hidden="1"/>
    </xf>
    <xf numFmtId="185" fontId="6" fillId="5" borderId="18" xfId="0" applyNumberFormat="1" applyFont="1" applyFill="1" applyBorder="1" applyAlignment="1" applyProtection="1">
      <alignment horizontal="right" vertical="center"/>
      <protection hidden="1"/>
    </xf>
    <xf numFmtId="185" fontId="6" fillId="19" borderId="17" xfId="0" applyNumberFormat="1" applyFont="1" applyFill="1" applyBorder="1" applyAlignment="1" applyProtection="1">
      <alignment horizontal="right" vertical="center"/>
      <protection hidden="1"/>
    </xf>
    <xf numFmtId="185" fontId="6" fillId="19" borderId="18" xfId="0" applyNumberFormat="1" applyFont="1" applyFill="1" applyBorder="1" applyAlignment="1" applyProtection="1">
      <alignment horizontal="right" vertical="center"/>
      <protection hidden="1"/>
    </xf>
    <xf numFmtId="185" fontId="7" fillId="17" borderId="19" xfId="0" applyNumberFormat="1" applyFont="1" applyFill="1" applyBorder="1" applyAlignment="1">
      <alignment vertical="center"/>
    </xf>
    <xf numFmtId="185" fontId="7" fillId="0" borderId="19" xfId="0" applyNumberFormat="1" applyFont="1" applyBorder="1" applyAlignment="1">
      <alignment vertical="center"/>
    </xf>
    <xf numFmtId="185" fontId="7" fillId="19" borderId="19" xfId="0" applyNumberFormat="1" applyFont="1" applyFill="1" applyBorder="1" applyAlignment="1">
      <alignment vertical="center"/>
    </xf>
    <xf numFmtId="185" fontId="6" fillId="19" borderId="19" xfId="0" applyNumberFormat="1" applyFont="1" applyFill="1" applyBorder="1" applyAlignment="1" applyProtection="1">
      <alignment horizontal="right" vertical="center"/>
      <protection hidden="1"/>
    </xf>
    <xf numFmtId="185" fontId="6" fillId="19" borderId="33" xfId="0" applyNumberFormat="1" applyFont="1" applyFill="1" applyBorder="1" applyAlignment="1" applyProtection="1">
      <alignment horizontal="right" vertical="center"/>
      <protection hidden="1"/>
    </xf>
    <xf numFmtId="185" fontId="7" fillId="19" borderId="32" xfId="0" applyNumberFormat="1" applyFont="1" applyFill="1" applyBorder="1" applyAlignment="1">
      <alignment vertical="center"/>
    </xf>
    <xf numFmtId="184" fontId="3" fillId="3" borderId="3" xfId="0" applyNumberFormat="1" applyFont="1" applyFill="1" applyBorder="1" applyAlignment="1" applyProtection="1">
      <alignment vertical="center"/>
      <protection locked="0"/>
    </xf>
    <xf numFmtId="184" fontId="4" fillId="0" borderId="9" xfId="0" applyNumberFormat="1" applyFont="1" applyBorder="1" applyAlignment="1"/>
    <xf numFmtId="0" fontId="3" fillId="2" borderId="20" xfId="0" applyFont="1" applyFill="1" applyBorder="1" applyAlignment="1">
      <alignment horizontal="center" vertical="center"/>
    </xf>
    <xf numFmtId="0" fontId="3" fillId="2" borderId="21" xfId="0" applyFont="1" applyFill="1" applyBorder="1" applyAlignment="1"/>
    <xf numFmtId="0" fontId="8" fillId="6" borderId="22" xfId="0" applyFont="1" applyFill="1" applyBorder="1" applyAlignment="1" applyProtection="1">
      <alignment horizontal="center" vertical="center"/>
      <protection hidden="1"/>
    </xf>
    <xf numFmtId="0" fontId="8" fillId="6" borderId="23" xfId="0" applyFont="1" applyFill="1" applyBorder="1" applyAlignment="1" applyProtection="1">
      <alignment horizontal="center" vertical="center"/>
      <protection hidden="1"/>
    </xf>
    <xf numFmtId="185" fontId="6" fillId="21" borderId="39" xfId="0" applyNumberFormat="1" applyFont="1" applyFill="1" applyBorder="1" applyAlignment="1" applyProtection="1">
      <alignment horizontal="right" vertical="center"/>
      <protection hidden="1"/>
    </xf>
    <xf numFmtId="185" fontId="6" fillId="21" borderId="40" xfId="0" applyNumberFormat="1" applyFont="1" applyFill="1" applyBorder="1" applyAlignment="1" applyProtection="1">
      <alignment horizontal="right" vertical="center"/>
      <protection hidden="1"/>
    </xf>
    <xf numFmtId="185" fontId="6" fillId="22" borderId="17" xfId="0" applyNumberFormat="1" applyFont="1" applyFill="1" applyBorder="1" applyAlignment="1" applyProtection="1">
      <alignment horizontal="right" vertical="center"/>
      <protection hidden="1"/>
    </xf>
    <xf numFmtId="185" fontId="6" fillId="22" borderId="18" xfId="0" applyNumberFormat="1" applyFont="1" applyFill="1" applyBorder="1" applyAlignment="1" applyProtection="1">
      <alignment horizontal="right" vertical="center"/>
      <protection hidden="1"/>
    </xf>
    <xf numFmtId="185" fontId="6" fillId="3" borderId="17" xfId="0" applyNumberFormat="1" applyFont="1" applyFill="1" applyBorder="1" applyAlignment="1" applyProtection="1">
      <alignment horizontal="right" vertical="center"/>
      <protection hidden="1"/>
    </xf>
    <xf numFmtId="185" fontId="6" fillId="3" borderId="18" xfId="0" applyNumberFormat="1" applyFont="1" applyFill="1" applyBorder="1" applyAlignment="1" applyProtection="1">
      <alignment horizontal="right" vertical="center"/>
      <protection hidden="1"/>
    </xf>
    <xf numFmtId="185" fontId="6" fillId="19" borderId="31" xfId="0" applyNumberFormat="1" applyFont="1" applyFill="1" applyBorder="1" applyAlignment="1" applyProtection="1">
      <alignment horizontal="right" vertical="center"/>
      <protection hidden="1"/>
    </xf>
    <xf numFmtId="0" fontId="4" fillId="0" borderId="22" xfId="0" applyFont="1" applyBorder="1" applyAlignment="1">
      <alignment vertical="center"/>
    </xf>
    <xf numFmtId="185" fontId="7" fillId="21" borderId="38" xfId="0" applyNumberFormat="1" applyFont="1" applyFill="1" applyBorder="1" applyAlignment="1">
      <alignment vertical="center"/>
    </xf>
    <xf numFmtId="185" fontId="7" fillId="22" borderId="19" xfId="0" applyNumberFormat="1" applyFont="1" applyFill="1" applyBorder="1" applyAlignment="1">
      <alignment vertical="center"/>
    </xf>
    <xf numFmtId="183" fontId="6" fillId="17" borderId="17" xfId="0" applyNumberFormat="1" applyFont="1" applyFill="1" applyBorder="1" applyAlignment="1" applyProtection="1">
      <alignment horizontal="right" vertical="center"/>
      <protection hidden="1"/>
    </xf>
    <xf numFmtId="183" fontId="6" fillId="17" borderId="19" xfId="0" applyNumberFormat="1" applyFont="1" applyFill="1" applyBorder="1" applyAlignment="1" applyProtection="1">
      <alignment horizontal="right" vertical="center"/>
      <protection hidden="1"/>
    </xf>
    <xf numFmtId="183" fontId="6" fillId="5" borderId="17" xfId="0" applyNumberFormat="1" applyFont="1" applyFill="1" applyBorder="1" applyAlignment="1" applyProtection="1">
      <alignment horizontal="right" vertical="center"/>
      <protection hidden="1"/>
    </xf>
    <xf numFmtId="183" fontId="6" fillId="5" borderId="19" xfId="0" applyNumberFormat="1" applyFont="1" applyFill="1" applyBorder="1" applyAlignment="1" applyProtection="1">
      <alignment horizontal="right" vertical="center"/>
      <protection hidden="1"/>
    </xf>
    <xf numFmtId="183" fontId="6" fillId="21" borderId="39" xfId="0" applyNumberFormat="1" applyFont="1" applyFill="1" applyBorder="1" applyAlignment="1" applyProtection="1">
      <alignment horizontal="right" vertical="center"/>
      <protection hidden="1"/>
    </xf>
    <xf numFmtId="183" fontId="6" fillId="21" borderId="38" xfId="0" applyNumberFormat="1" applyFont="1" applyFill="1" applyBorder="1" applyAlignment="1" applyProtection="1">
      <alignment horizontal="right" vertical="center"/>
      <protection hidden="1"/>
    </xf>
    <xf numFmtId="183" fontId="6" fillId="22" borderId="17" xfId="0" applyNumberFormat="1" applyFont="1" applyFill="1" applyBorder="1" applyAlignment="1" applyProtection="1">
      <alignment horizontal="right" vertical="center"/>
      <protection hidden="1"/>
    </xf>
    <xf numFmtId="183" fontId="6" fillId="22" borderId="19" xfId="0" applyNumberFormat="1" applyFont="1" applyFill="1" applyBorder="1" applyAlignment="1" applyProtection="1">
      <alignment horizontal="right" vertical="center"/>
      <protection hidden="1"/>
    </xf>
    <xf numFmtId="183" fontId="6" fillId="3" borderId="17" xfId="0" applyNumberFormat="1" applyFont="1" applyFill="1" applyBorder="1" applyAlignment="1" applyProtection="1">
      <alignment horizontal="right" vertical="center"/>
      <protection hidden="1"/>
    </xf>
    <xf numFmtId="183" fontId="6" fillId="3" borderId="19" xfId="0" applyNumberFormat="1" applyFont="1" applyFill="1" applyBorder="1" applyAlignment="1" applyProtection="1">
      <alignment horizontal="right" vertical="center"/>
      <protection hidden="1"/>
    </xf>
    <xf numFmtId="183" fontId="6" fillId="19" borderId="33" xfId="0" applyNumberFormat="1" applyFont="1" applyFill="1" applyBorder="1" applyAlignment="1" applyProtection="1">
      <alignment horizontal="right" vertical="center"/>
      <protection hidden="1"/>
    </xf>
    <xf numFmtId="183" fontId="6" fillId="19" borderId="32" xfId="0" applyNumberFormat="1" applyFont="1" applyFill="1" applyBorder="1" applyAlignment="1" applyProtection="1">
      <alignment horizontal="right" vertical="center"/>
      <protection hidden="1"/>
    </xf>
    <xf numFmtId="183" fontId="6" fillId="19" borderId="17" xfId="0" applyNumberFormat="1" applyFont="1" applyFill="1" applyBorder="1" applyAlignment="1" applyProtection="1">
      <alignment horizontal="right" vertical="center"/>
      <protection hidden="1"/>
    </xf>
    <xf numFmtId="183" fontId="6" fillId="19" borderId="19" xfId="0" applyNumberFormat="1" applyFont="1" applyFill="1" applyBorder="1" applyAlignment="1" applyProtection="1">
      <alignment horizontal="right" vertical="center"/>
      <protection hidden="1"/>
    </xf>
    <xf numFmtId="185" fontId="6" fillId="19" borderId="24" xfId="2" applyNumberFormat="1" applyFont="1" applyFill="1" applyBorder="1" applyAlignment="1" applyProtection="1">
      <alignment horizontal="right" vertical="center"/>
      <protection hidden="1"/>
    </xf>
    <xf numFmtId="185" fontId="6" fillId="19" borderId="19" xfId="2" applyNumberFormat="1" applyFont="1" applyFill="1" applyBorder="1" applyAlignment="1" applyProtection="1">
      <alignment horizontal="right" vertical="center"/>
      <protection hidden="1"/>
    </xf>
    <xf numFmtId="185" fontId="6" fillId="17" borderId="24" xfId="2" applyNumberFormat="1" applyFont="1" applyFill="1" applyBorder="1" applyAlignment="1" applyProtection="1">
      <alignment horizontal="right" vertical="center"/>
      <protection hidden="1"/>
    </xf>
    <xf numFmtId="185" fontId="6" fillId="17" borderId="19" xfId="2" applyNumberFormat="1" applyFont="1" applyFill="1" applyBorder="1" applyAlignment="1" applyProtection="1">
      <alignment horizontal="right" vertical="center"/>
      <protection hidden="1"/>
    </xf>
    <xf numFmtId="185" fontId="6" fillId="21" borderId="36" xfId="2" applyNumberFormat="1" applyFont="1" applyFill="1" applyBorder="1" applyAlignment="1" applyProtection="1">
      <alignment horizontal="right" vertical="center"/>
      <protection hidden="1"/>
    </xf>
    <xf numFmtId="185" fontId="6" fillId="21" borderId="37" xfId="2" applyNumberFormat="1" applyFont="1" applyFill="1" applyBorder="1" applyAlignment="1" applyProtection="1">
      <alignment horizontal="right" vertical="center"/>
      <protection hidden="1"/>
    </xf>
    <xf numFmtId="183" fontId="6" fillId="21" borderId="34" xfId="0" applyNumberFormat="1" applyFont="1" applyFill="1" applyBorder="1" applyAlignment="1" applyProtection="1">
      <alignment horizontal="right" vertical="center"/>
      <protection hidden="1"/>
    </xf>
    <xf numFmtId="183" fontId="6" fillId="21" borderId="37" xfId="0" applyNumberFormat="1" applyFont="1" applyFill="1" applyBorder="1" applyAlignment="1" applyProtection="1">
      <alignment horizontal="right" vertical="center"/>
      <protection hidden="1"/>
    </xf>
    <xf numFmtId="0" fontId="3" fillId="5" borderId="24" xfId="0" applyFont="1" applyFill="1" applyBorder="1" applyAlignment="1" applyProtection="1">
      <alignment horizontal="center" vertical="center"/>
      <protection hidden="1"/>
    </xf>
    <xf numFmtId="0" fontId="3" fillId="5" borderId="26" xfId="0" applyFont="1" applyFill="1" applyBorder="1" applyAlignment="1" applyProtection="1">
      <alignment horizontal="center" vertical="center"/>
      <protection hidden="1"/>
    </xf>
    <xf numFmtId="0" fontId="3" fillId="5" borderId="18" xfId="0" applyFont="1" applyFill="1" applyBorder="1" applyAlignment="1" applyProtection="1">
      <alignment horizontal="center" vertical="center"/>
      <protection hidden="1"/>
    </xf>
    <xf numFmtId="0" fontId="8" fillId="6" borderId="27" xfId="0" applyFont="1" applyFill="1" applyBorder="1" applyAlignment="1" applyProtection="1">
      <alignment horizontal="center" vertical="center"/>
      <protection hidden="1"/>
    </xf>
    <xf numFmtId="0" fontId="4" fillId="0" borderId="4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3" fillId="21" borderId="24" xfId="0" applyFont="1" applyFill="1" applyBorder="1" applyAlignment="1" applyProtection="1">
      <alignment horizontal="center" vertical="center"/>
      <protection hidden="1"/>
    </xf>
    <xf numFmtId="0" fontId="4" fillId="21" borderId="26" xfId="0" applyFont="1" applyFill="1" applyBorder="1" applyAlignment="1">
      <alignment horizontal="center" vertical="center"/>
    </xf>
    <xf numFmtId="0" fontId="4" fillId="21" borderId="18" xfId="0" applyFont="1" applyFill="1" applyBorder="1" applyAlignment="1">
      <alignment horizontal="center" vertical="center"/>
    </xf>
    <xf numFmtId="0" fontId="3" fillId="22" borderId="24" xfId="0" applyFont="1" applyFill="1" applyBorder="1" applyAlignment="1" applyProtection="1">
      <alignment horizontal="center" vertical="center"/>
      <protection hidden="1"/>
    </xf>
    <xf numFmtId="0" fontId="4" fillId="22" borderId="26" xfId="0" applyFont="1" applyFill="1" applyBorder="1" applyAlignment="1">
      <alignment horizontal="center" vertical="center"/>
    </xf>
    <xf numFmtId="0" fontId="4" fillId="22" borderId="18" xfId="0" applyFont="1" applyFill="1" applyBorder="1" applyAlignment="1">
      <alignment horizontal="center" vertical="center"/>
    </xf>
    <xf numFmtId="0" fontId="3" fillId="3" borderId="24" xfId="0" applyFont="1" applyFill="1" applyBorder="1" applyAlignment="1" applyProtection="1">
      <alignment horizontal="center" vertical="center"/>
      <protection hidden="1"/>
    </xf>
    <xf numFmtId="0" fontId="4" fillId="0" borderId="26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3" fillId="17" borderId="24" xfId="0" applyFont="1" applyFill="1" applyBorder="1" applyAlignment="1" applyProtection="1">
      <alignment horizontal="center" vertical="center"/>
      <protection hidden="1"/>
    </xf>
    <xf numFmtId="0" fontId="3" fillId="17" borderId="26" xfId="0" applyFont="1" applyFill="1" applyBorder="1" applyAlignment="1" applyProtection="1">
      <alignment horizontal="center" vertical="center"/>
      <protection hidden="1"/>
    </xf>
    <xf numFmtId="0" fontId="3" fillId="17" borderId="18" xfId="0" applyFont="1" applyFill="1" applyBorder="1" applyAlignment="1" applyProtection="1">
      <alignment horizontal="center" vertical="center"/>
      <protection hidden="1"/>
    </xf>
    <xf numFmtId="0" fontId="3" fillId="19" borderId="29" xfId="0" applyFont="1" applyFill="1" applyBorder="1" applyAlignment="1" applyProtection="1">
      <alignment horizontal="center" vertical="center"/>
      <protection hidden="1"/>
    </xf>
    <xf numFmtId="0" fontId="4" fillId="19" borderId="30" xfId="0" applyFont="1" applyFill="1" applyBorder="1" applyAlignment="1">
      <alignment horizontal="center" vertical="center"/>
    </xf>
    <xf numFmtId="0" fontId="4" fillId="19" borderId="31" xfId="0" applyFont="1" applyFill="1" applyBorder="1" applyAlignment="1">
      <alignment horizontal="center" vertical="center"/>
    </xf>
    <xf numFmtId="0" fontId="3" fillId="19" borderId="24" xfId="0" applyFont="1" applyFill="1" applyBorder="1" applyAlignment="1" applyProtection="1">
      <alignment horizontal="center" vertical="center"/>
      <protection hidden="1"/>
    </xf>
    <xf numFmtId="0" fontId="0" fillId="19" borderId="26" xfId="0" applyFill="1" applyBorder="1"/>
    <xf numFmtId="0" fontId="0" fillId="19" borderId="18" xfId="0" applyFill="1" applyBorder="1"/>
    <xf numFmtId="0" fontId="3" fillId="19" borderId="26" xfId="0" applyFont="1" applyFill="1" applyBorder="1" applyAlignment="1" applyProtection="1">
      <alignment horizontal="center" vertical="center"/>
      <protection hidden="1"/>
    </xf>
    <xf numFmtId="0" fontId="3" fillId="19" borderId="18" xfId="0" applyFont="1" applyFill="1" applyBorder="1" applyAlignment="1" applyProtection="1">
      <alignment horizontal="center" vertical="center"/>
      <protection hidden="1"/>
    </xf>
    <xf numFmtId="185" fontId="6" fillId="5" borderId="24" xfId="2" applyNumberFormat="1" applyFont="1" applyFill="1" applyBorder="1" applyAlignment="1" applyProtection="1">
      <alignment horizontal="right" vertical="center"/>
      <protection hidden="1"/>
    </xf>
    <xf numFmtId="185" fontId="6" fillId="5" borderId="19" xfId="2" applyNumberFormat="1" applyFont="1" applyFill="1" applyBorder="1" applyAlignment="1" applyProtection="1">
      <alignment horizontal="right" vertical="center"/>
      <protection hidden="1"/>
    </xf>
    <xf numFmtId="0" fontId="8" fillId="6" borderId="25" xfId="0" applyFont="1" applyFill="1" applyBorder="1" applyAlignment="1" applyProtection="1">
      <alignment horizontal="center" vertical="center"/>
      <protection hidden="1"/>
    </xf>
    <xf numFmtId="0" fontId="4" fillId="17" borderId="26" xfId="0" applyFont="1" applyFill="1" applyBorder="1" applyAlignment="1">
      <alignment horizontal="center" vertical="center"/>
    </xf>
    <xf numFmtId="0" fontId="4" fillId="17" borderId="18" xfId="0" applyFont="1" applyFill="1" applyBorder="1" applyAlignment="1">
      <alignment horizontal="center" vertical="center"/>
    </xf>
    <xf numFmtId="185" fontId="7" fillId="21" borderId="37" xfId="0" applyNumberFormat="1" applyFont="1" applyFill="1" applyBorder="1" applyAlignment="1">
      <alignment vertical="center"/>
    </xf>
    <xf numFmtId="185" fontId="6" fillId="21" borderId="11" xfId="2" applyNumberFormat="1" applyFont="1" applyFill="1" applyBorder="1" applyAlignment="1" applyProtection="1">
      <alignment horizontal="right" vertical="center"/>
      <protection hidden="1"/>
    </xf>
    <xf numFmtId="185" fontId="6" fillId="21" borderId="38" xfId="2" applyNumberFormat="1" applyFont="1" applyFill="1" applyBorder="1" applyAlignment="1" applyProtection="1">
      <alignment horizontal="right" vertical="center"/>
      <protection hidden="1"/>
    </xf>
    <xf numFmtId="185" fontId="6" fillId="22" borderId="24" xfId="2" applyNumberFormat="1" applyFont="1" applyFill="1" applyBorder="1" applyAlignment="1" applyProtection="1">
      <alignment horizontal="right" vertical="center"/>
      <protection hidden="1"/>
    </xf>
    <xf numFmtId="185" fontId="6" fillId="22" borderId="19" xfId="2" applyNumberFormat="1" applyFont="1" applyFill="1" applyBorder="1" applyAlignment="1" applyProtection="1">
      <alignment horizontal="right" vertical="center"/>
      <protection hidden="1"/>
    </xf>
    <xf numFmtId="185" fontId="6" fillId="3" borderId="24" xfId="2" applyNumberFormat="1" applyFont="1" applyFill="1" applyBorder="1" applyAlignment="1" applyProtection="1">
      <alignment horizontal="right" vertical="center"/>
      <protection hidden="1"/>
    </xf>
    <xf numFmtId="185" fontId="6" fillId="3" borderId="19" xfId="2" applyNumberFormat="1" applyFont="1" applyFill="1" applyBorder="1" applyAlignment="1" applyProtection="1">
      <alignment horizontal="right" vertical="center"/>
      <protection hidden="1"/>
    </xf>
    <xf numFmtId="185" fontId="6" fillId="19" borderId="29" xfId="2" applyNumberFormat="1" applyFont="1" applyFill="1" applyBorder="1" applyAlignment="1" applyProtection="1">
      <alignment horizontal="right" vertical="center"/>
      <protection hidden="1"/>
    </xf>
    <xf numFmtId="185" fontId="6" fillId="19" borderId="32" xfId="2" applyNumberFormat="1" applyFont="1" applyFill="1" applyBorder="1" applyAlignment="1" applyProtection="1">
      <alignment horizontal="right" vertical="center"/>
      <protection hidden="1"/>
    </xf>
    <xf numFmtId="0" fontId="19" fillId="7" borderId="0" xfId="0" applyFont="1" applyFill="1" applyBorder="1" applyAlignment="1">
      <alignment horizontal="center" vertical="center"/>
    </xf>
  </cellXfs>
  <cellStyles count="4">
    <cellStyle name="パーセント" xfId="1" builtinId="5"/>
    <cellStyle name="桁区切り" xfId="2" builtinId="6"/>
    <cellStyle name="標準" xfId="0" builtinId="0"/>
    <cellStyle name="標準 3" xfId="3"/>
  </cellStyles>
  <dxfs count="13">
    <dxf>
      <font>
        <condense val="0"/>
        <extend val="0"/>
        <color indexed="14"/>
      </font>
      <fill>
        <patternFill>
          <bgColor indexed="22"/>
        </patternFill>
      </fill>
    </dxf>
    <dxf>
      <font>
        <condense val="0"/>
        <extend val="0"/>
        <color indexed="14"/>
      </font>
      <fill>
        <patternFill>
          <bgColor indexed="22"/>
        </patternFill>
      </fill>
    </dxf>
    <dxf>
      <font>
        <condense val="0"/>
        <extend val="0"/>
        <color indexed="14"/>
      </font>
      <fill>
        <patternFill>
          <bgColor indexed="22"/>
        </patternFill>
      </fill>
    </dxf>
    <dxf>
      <font>
        <b/>
        <i val="0"/>
        <condense val="0"/>
        <extend val="0"/>
        <color indexed="10"/>
      </font>
      <fill>
        <patternFill patternType="mediumGray">
          <bgColor indexed="23"/>
        </patternFill>
      </fill>
    </dxf>
    <dxf>
      <font>
        <b/>
        <i val="0"/>
        <condense val="0"/>
        <extend val="0"/>
        <color indexed="10"/>
      </font>
      <fill>
        <patternFill patternType="mediumGray">
          <fgColor indexed="64"/>
          <bgColor indexed="23"/>
        </patternFill>
      </fill>
    </dxf>
    <dxf>
      <font>
        <b/>
        <i val="0"/>
        <condense val="0"/>
        <extend val="0"/>
        <color indexed="10"/>
      </font>
      <fill>
        <patternFill patternType="mediumGray">
          <fgColor indexed="64"/>
          <bgColor indexed="23"/>
        </patternFill>
      </fill>
    </dxf>
    <dxf>
      <font>
        <b/>
        <i val="0"/>
        <condense val="0"/>
        <extend val="0"/>
        <color indexed="10"/>
      </font>
      <fill>
        <patternFill patternType="mediumGray">
          <fgColor indexed="64"/>
          <bgColor indexed="23"/>
        </patternFill>
      </fill>
    </dxf>
    <dxf>
      <font>
        <condense val="0"/>
        <extend val="0"/>
        <color indexed="10"/>
      </font>
      <fill>
        <patternFill patternType="mediumGray">
          <bgColor indexed="23"/>
        </patternFill>
      </fill>
    </dxf>
    <dxf>
      <font>
        <b/>
        <i val="0"/>
        <condense val="0"/>
        <extend val="0"/>
        <color indexed="10"/>
      </font>
      <fill>
        <patternFill patternType="mediumGray">
          <bgColor indexed="23"/>
        </patternFill>
      </fill>
    </dxf>
    <dxf>
      <font>
        <b/>
        <i val="0"/>
        <condense val="0"/>
        <extend val="0"/>
        <color indexed="10"/>
      </font>
      <fill>
        <patternFill patternType="mediumGray">
          <bgColor indexed="23"/>
        </patternFill>
      </fill>
    </dxf>
    <dxf>
      <font>
        <b/>
        <i val="0"/>
        <strike/>
        <condense val="0"/>
        <extend val="0"/>
      </font>
      <fill>
        <patternFill>
          <bgColor indexed="10"/>
        </patternFill>
      </fill>
    </dxf>
    <dxf>
      <font>
        <b/>
        <i val="0"/>
        <strike/>
        <condense val="0"/>
        <extend val="0"/>
        <color indexed="8"/>
      </font>
      <fill>
        <patternFill>
          <bgColor indexed="10"/>
        </patternFill>
      </fill>
    </dxf>
    <dxf>
      <font>
        <b/>
        <i val="0"/>
        <condense val="0"/>
        <extend val="0"/>
        <color indexed="10"/>
      </font>
      <fill>
        <patternFill patternType="mediumGray">
          <fgColor indexed="64"/>
          <bgColor indexed="2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Drop" dropLines="19" dropStyle="combo" dx="16" fmlaLink="$C$6" fmlaRange="Calculation!$K$2:$K$6" val="0"/>
</file>

<file path=xl/ctrlProps/ctrlProp2.xml><?xml version="1.0" encoding="utf-8"?>
<formControlPr xmlns="http://schemas.microsoft.com/office/spreadsheetml/2009/9/main" objectType="Drop" dropLines="2" dropStyle="combo" dx="16" fmlaLink="$E$6" fmlaRange="Calculation!$B$26:$B$27" sel="2" val="0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4</xdr:row>
          <xdr:rowOff>200025</xdr:rowOff>
        </xdr:from>
        <xdr:to>
          <xdr:col>3</xdr:col>
          <xdr:colOff>333375</xdr:colOff>
          <xdr:row>6</xdr:row>
          <xdr:rowOff>9525</xdr:rowOff>
        </xdr:to>
        <xdr:sp macro="" textlink="">
          <xdr:nvSpPr>
            <xdr:cNvPr id="1038" name="Drop Down 14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533400</xdr:colOff>
          <xdr:row>4</xdr:row>
          <xdr:rowOff>200025</xdr:rowOff>
        </xdr:from>
        <xdr:to>
          <xdr:col>5</xdr:col>
          <xdr:colOff>495300</xdr:colOff>
          <xdr:row>6</xdr:row>
          <xdr:rowOff>9525</xdr:rowOff>
        </xdr:to>
        <xdr:sp macro="" textlink="">
          <xdr:nvSpPr>
            <xdr:cNvPr id="1041" name="Drop Down 17" hidden="1">
              <a:extLst>
                <a:ext uri="{63B3BB69-23CF-44E3-9099-C40C66FF867C}">
                  <a14:compatExt spid="_x0000_s104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xdr:twoCellAnchor editAs="oneCell">
    <xdr:from>
      <xdr:col>0</xdr:col>
      <xdr:colOff>47625</xdr:colOff>
      <xdr:row>0</xdr:row>
      <xdr:rowOff>66675</xdr:rowOff>
    </xdr:from>
    <xdr:to>
      <xdr:col>3</xdr:col>
      <xdr:colOff>247650</xdr:colOff>
      <xdr:row>2</xdr:row>
      <xdr:rowOff>142875</xdr:rowOff>
    </xdr:to>
    <xdr:pic>
      <xdr:nvPicPr>
        <xdr:cNvPr id="1099" name="Picture 36" descr="D:\Documents and Settings\ko-fksw\デスクトップ\新HWシミュレーター\Logo\CITILED_T.L.E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66675"/>
          <a:ext cx="2085975" cy="49530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808080" mc:Ignorable="a14" a14:legacySpreadsheetColorIndex="23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969696" mc:Ignorable="a14" a14:legacySpreadsheetColorIndex="55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390525</xdr:colOff>
      <xdr:row>0</xdr:row>
      <xdr:rowOff>126999</xdr:rowOff>
    </xdr:from>
    <xdr:to>
      <xdr:col>12</xdr:col>
      <xdr:colOff>466725</xdr:colOff>
      <xdr:row>2</xdr:row>
      <xdr:rowOff>109007</xdr:rowOff>
    </xdr:to>
    <xdr:sp macro="" textlink="">
      <xdr:nvSpPr>
        <xdr:cNvPr id="1062" name="WordArt 38"/>
        <xdr:cNvSpPr>
          <a:spLocks noChangeArrowheads="1" noChangeShapeType="1" noTextEdit="1"/>
        </xdr:cNvSpPr>
      </xdr:nvSpPr>
      <xdr:spPr bwMode="auto">
        <a:xfrm>
          <a:off x="2276475" y="126999"/>
          <a:ext cx="4772025" cy="401108"/>
        </a:xfrm>
        <a:prstGeom prst="rect">
          <a:avLst/>
        </a:prstGeom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FF" mc:Ignorable="a14" a14:legacySpreadsheetColorIndex="12"/>
              </a:solidFill>
              <a:round/>
              <a:headEnd/>
              <a:tailEnd/>
            </a14:hiddenLine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en-US" altLang="ja-JP" sz="2400" b="1" i="1" kern="10" spc="0">
              <a:ln>
                <a:noFill/>
              </a:ln>
              <a:solidFill>
                <a:srgbClr xmlns:mc="http://schemas.openxmlformats.org/markup-compatibility/2006" xmlns:a14="http://schemas.microsoft.com/office/drawing/2010/main" val="0000FF" mc:Ignorable="a14" a14:legacySpreadsheetColorIndex="12"/>
              </a:solidFill>
              <a:effectLst>
                <a:outerShdw dist="17961" dir="2700000" algn="ctr" rotWithShape="0">
                  <a:srgbClr xmlns:mc="http://schemas.openxmlformats.org/markup-compatibility/2006" xmlns:a14="http://schemas.microsoft.com/office/drawing/2010/main" val="969696" mc:Ignorable="a14" a14:legacySpreadsheetColorIndex="55"/>
                </a:outerShdw>
              </a:effectLst>
              <a:latin typeface="Arial"/>
              <a:cs typeface="Arial"/>
            </a:rPr>
            <a:t>Lighting LED Selection Tool</a:t>
          </a:r>
          <a:endParaRPr lang="ja-JP" altLang="en-US" sz="2400" b="1" i="1" kern="10" spc="0">
            <a:ln>
              <a:noFill/>
            </a:ln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effectLst>
              <a:outerShdw dist="17961" dir="2700000" algn="ctr" rotWithShape="0">
                <a:srgbClr xmlns:mc="http://schemas.openxmlformats.org/markup-compatibility/2006" xmlns:a14="http://schemas.microsoft.com/office/drawing/2010/main" val="969696" mc:Ignorable="a14" a14:legacySpreadsheetColorIndex="55"/>
              </a:outerShdw>
            </a:effectLst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247650</xdr:colOff>
      <xdr:row>4</xdr:row>
      <xdr:rowOff>104775</xdr:rowOff>
    </xdr:from>
    <xdr:to>
      <xdr:col>13</xdr:col>
      <xdr:colOff>314325</xdr:colOff>
      <xdr:row>6</xdr:row>
      <xdr:rowOff>76200</xdr:rowOff>
    </xdr:to>
    <xdr:sp macro="" textlink="">
      <xdr:nvSpPr>
        <xdr:cNvPr id="1101" name="Rectangle 39"/>
        <xdr:cNvSpPr>
          <a:spLocks noChangeArrowheads="1"/>
        </xdr:cNvSpPr>
      </xdr:nvSpPr>
      <xdr:spPr bwMode="auto">
        <a:xfrm>
          <a:off x="247650" y="847725"/>
          <a:ext cx="7153275" cy="390525"/>
        </a:xfrm>
        <a:prstGeom prst="rect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FF00FF" mc:Ignorable="a14" a14:legacySpreadsheetColorIndex="33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oneCellAnchor>
    <xdr:from>
      <xdr:col>1</xdr:col>
      <xdr:colOff>28575</xdr:colOff>
      <xdr:row>4</xdr:row>
      <xdr:rowOff>0</xdr:rowOff>
    </xdr:from>
    <xdr:ext cx="1114720" cy="162224"/>
    <xdr:sp macro="" textlink="">
      <xdr:nvSpPr>
        <xdr:cNvPr id="1064" name="Text Box 40"/>
        <xdr:cNvSpPr txBox="1">
          <a:spLocks noChangeArrowheads="1"/>
        </xdr:cNvSpPr>
      </xdr:nvSpPr>
      <xdr:spPr bwMode="auto">
        <a:xfrm>
          <a:off x="381000" y="742950"/>
          <a:ext cx="1114720" cy="16222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36000" tIns="0" rIns="36000" bIns="0" anchor="t" upright="1">
          <a:spAutoFit/>
        </a:bodyPr>
        <a:lstStyle/>
        <a:p>
          <a:pPr algn="l" rtl="0">
            <a:defRPr sz="1000"/>
          </a:pPr>
          <a:r>
            <a:rPr lang="ja-JP" altLang="en-US" sz="1100" b="1" i="0" u="none" strike="noStrike" baseline="0">
              <a:solidFill>
                <a:srgbClr val="FF00FF"/>
              </a:solidFill>
              <a:latin typeface="Arial"/>
              <a:cs typeface="Arial"/>
            </a:rPr>
            <a:t>Condition input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V51"/>
  <sheetViews>
    <sheetView showRowColHeaders="0" tabSelected="1" workbookViewId="0">
      <selection activeCell="F30" sqref="F30"/>
    </sheetView>
  </sheetViews>
  <sheetFormatPr defaultRowHeight="14.25" x14ac:dyDescent="0.2"/>
  <cols>
    <col min="1" max="1" width="4.625" style="34" customWidth="1"/>
    <col min="2" max="2" width="9.5" style="34" customWidth="1"/>
    <col min="3" max="3" width="10.625" style="34" customWidth="1"/>
    <col min="4" max="4" width="8.625" style="34" customWidth="1"/>
    <col min="5" max="6" width="6.625" style="34" customWidth="1"/>
    <col min="7" max="7" width="8.125" style="34" customWidth="1"/>
    <col min="8" max="8" width="5.125" style="34" customWidth="1"/>
    <col min="9" max="18" width="6.625" style="34" customWidth="1"/>
    <col min="19" max="16384" width="9" style="34"/>
  </cols>
  <sheetData>
    <row r="1" spans="1:20" ht="17.100000000000001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20" ht="17.100000000000001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20" ht="17.100000000000001" customHeigh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20" ht="9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20" ht="17.100000000000001" customHeight="1" thickBot="1" x14ac:dyDescent="0.25">
      <c r="A5" s="3"/>
      <c r="B5" s="4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5"/>
      <c r="P5" s="1"/>
    </row>
    <row r="6" spans="1:20" ht="17.100000000000001" customHeight="1" thickBot="1" x14ac:dyDescent="0.3">
      <c r="A6" s="3"/>
      <c r="B6" s="6" t="s">
        <v>117</v>
      </c>
      <c r="C6" s="107">
        <v>1</v>
      </c>
      <c r="D6" s="7">
        <v>1</v>
      </c>
      <c r="E6" s="8">
        <v>2</v>
      </c>
      <c r="F6" s="2"/>
      <c r="G6" s="9">
        <v>350</v>
      </c>
      <c r="H6" s="26" t="str">
        <f>VLOOKUP(E6,Calculation!A26:I27,9,FALSE)</f>
        <v>mA</v>
      </c>
      <c r="I6" s="3"/>
      <c r="J6" s="174" t="s">
        <v>10</v>
      </c>
      <c r="K6" s="175"/>
      <c r="L6" s="172">
        <v>67.453336093362736</v>
      </c>
      <c r="M6" s="173"/>
      <c r="N6" s="10"/>
      <c r="O6" s="5"/>
      <c r="P6" s="1"/>
    </row>
    <row r="7" spans="1:20" ht="9.9499999999999993" customHeight="1" x14ac:dyDescent="0.2">
      <c r="A7" s="3"/>
      <c r="B7" s="11"/>
      <c r="C7" s="7"/>
      <c r="D7" s="7"/>
      <c r="E7" s="1"/>
      <c r="F7" s="12"/>
      <c r="G7" s="13"/>
      <c r="H7" s="14"/>
      <c r="I7" s="3"/>
      <c r="J7" s="15"/>
      <c r="K7" s="16"/>
      <c r="L7" s="10"/>
      <c r="M7" s="16"/>
      <c r="N7" s="10"/>
      <c r="O7" s="3"/>
      <c r="P7" s="1"/>
    </row>
    <row r="8" spans="1:20" ht="9.9499999999999993" customHeight="1" thickBot="1" x14ac:dyDescent="0.25">
      <c r="A8" s="3"/>
      <c r="B8" s="3"/>
      <c r="C8" s="3"/>
      <c r="D8" s="3"/>
      <c r="E8" s="5"/>
      <c r="F8" s="5"/>
      <c r="G8" s="3"/>
      <c r="H8" s="3"/>
      <c r="I8" s="3"/>
      <c r="J8" s="3"/>
      <c r="K8" s="3"/>
      <c r="L8" s="3"/>
      <c r="M8" s="3"/>
      <c r="N8" s="3"/>
      <c r="O8" s="3"/>
      <c r="P8" s="17"/>
    </row>
    <row r="9" spans="1:20" s="36" customFormat="1" ht="17.100000000000001" customHeight="1" thickBot="1" x14ac:dyDescent="0.25">
      <c r="A9" s="3"/>
      <c r="B9" s="213" t="s">
        <v>11</v>
      </c>
      <c r="C9" s="214"/>
      <c r="D9" s="215"/>
      <c r="E9" s="238" t="str">
        <f>VLOOKUP($E6,Calculation!A26:I27,3,FALSE)</f>
        <v>φv (lm)</v>
      </c>
      <c r="F9" s="176"/>
      <c r="G9" s="176" t="str">
        <f>VLOOKUP($E6,Calculation!A26:I27,4,FALSE)</f>
        <v>Vf (V)</v>
      </c>
      <c r="H9" s="176"/>
      <c r="I9" s="176" t="str">
        <f>VLOOKUP($E6,Calculation!A26:I27,7,FALSE)</f>
        <v>Pd (W)</v>
      </c>
      <c r="J9" s="176"/>
      <c r="K9" s="176" t="str">
        <f>VLOOKUP($E6,Calculation!A26:I27,8,FALSE)</f>
        <v>lm/W</v>
      </c>
      <c r="L9" s="185"/>
      <c r="M9" s="176" t="s">
        <v>12</v>
      </c>
      <c r="N9" s="177"/>
      <c r="O9" s="35"/>
      <c r="P9" s="42"/>
      <c r="R9" s="27"/>
    </row>
    <row r="10" spans="1:20" s="36" customFormat="1" ht="18.75" hidden="1" customHeight="1" thickBot="1" x14ac:dyDescent="0.25">
      <c r="A10" s="3"/>
      <c r="B10" s="18" t="s">
        <v>13</v>
      </c>
      <c r="C10" s="19"/>
      <c r="D10" s="19"/>
      <c r="E10" s="20" t="str">
        <f>CONCATENATE($E6,E9)</f>
        <v>2φv (lm)</v>
      </c>
      <c r="F10" s="20"/>
      <c r="G10" s="21" t="str">
        <f>CONCATENATE($E6,G9)</f>
        <v>2Vf (V)</v>
      </c>
      <c r="H10" s="21"/>
      <c r="I10" s="21" t="str">
        <f>CONCATENATE($E6,I9)</f>
        <v>2Pd (W)</v>
      </c>
      <c r="J10" s="21"/>
      <c r="K10" s="21" t="str">
        <f>CONCATENATE($E6,K9)</f>
        <v>2lm/W</v>
      </c>
      <c r="L10" s="22"/>
      <c r="M10" s="23" t="str">
        <f>CONCATENATE($E6,M9)</f>
        <v>2Tj (C)</v>
      </c>
      <c r="N10" s="23"/>
      <c r="R10" s="27"/>
    </row>
    <row r="11" spans="1:20" s="36" customFormat="1" ht="17.100000000000001" customHeight="1" x14ac:dyDescent="0.2">
      <c r="A11" s="3"/>
      <c r="B11" s="216" t="str">
        <f>CONCATENATE(Calculation!B2,"-",Calculation!F2,Calculation!D2)</f>
        <v>CLU701-0303C4-50NV1N8</v>
      </c>
      <c r="C11" s="217"/>
      <c r="D11" s="218"/>
      <c r="E11" s="206">
        <f>HLOOKUP(E$10,Calculation!$C$33:$P$46,2,FALSE)</f>
        <v>363.35817518992326</v>
      </c>
      <c r="F11" s="207"/>
      <c r="G11" s="208">
        <f>HLOOKUP(G$10,Calculation!$C$33:$P$46,2,FALSE)</f>
        <v>8.9692318935137614</v>
      </c>
      <c r="H11" s="209"/>
      <c r="I11" s="208">
        <f>HLOOKUP(I$10,Calculation!$C$33:$P$46,2,FALSE)</f>
        <v>3.1392311627298164</v>
      </c>
      <c r="J11" s="209"/>
      <c r="K11" s="148">
        <f>HLOOKUP(K$10,Calculation!$C$33:$P$46,2,FALSE)</f>
        <v>115.74750515471878</v>
      </c>
      <c r="L11" s="241"/>
      <c r="M11" s="148">
        <f>HLOOKUP(M$10,Calculation!$C$33:$P$46,2,FALSE)</f>
        <v>78.440645162917093</v>
      </c>
      <c r="N11" s="149"/>
      <c r="O11" s="37"/>
      <c r="P11" s="43"/>
      <c r="Q11" s="44"/>
      <c r="R11" s="27"/>
      <c r="S11" s="45"/>
    </row>
    <row r="12" spans="1:20" s="36" customFormat="1" ht="17.100000000000001" hidden="1" customHeight="1" x14ac:dyDescent="0.2">
      <c r="A12" s="3"/>
      <c r="B12" s="216" t="str">
        <f>CONCATENATE(Calculation!B3,"-",Calculation!F3,Calculation!D3)</f>
        <v>CLU701-0304C4-50NV1N8</v>
      </c>
      <c r="C12" s="217"/>
      <c r="D12" s="218"/>
      <c r="E12" s="242" t="str">
        <f>HLOOKUP(E$10,Calculation!$C$33:$P$46,3,FALSE)</f>
        <v>Not Applicable</v>
      </c>
      <c r="F12" s="243"/>
      <c r="G12" s="192" t="str">
        <f>HLOOKUP(G$10,Calculation!$C$33:$P$46,3,FALSE)</f>
        <v>Not Applicable</v>
      </c>
      <c r="H12" s="193"/>
      <c r="I12" s="192" t="str">
        <f>HLOOKUP(I$10,Calculation!$C$33:$P$46,3,FALSE)</f>
        <v>Not Applicable</v>
      </c>
      <c r="J12" s="193"/>
      <c r="K12" s="178" t="str">
        <f>HLOOKUP(K$10,Calculation!$C$33:$P$46,3,FALSE)</f>
        <v>Not Applicable</v>
      </c>
      <c r="L12" s="186"/>
      <c r="M12" s="178" t="str">
        <f>HLOOKUP(M$10,Calculation!$C$33:$P$46,3,FALSE)</f>
        <v>Not Applicable</v>
      </c>
      <c r="N12" s="179"/>
      <c r="O12" s="37"/>
      <c r="P12" s="43"/>
      <c r="Q12" s="44"/>
      <c r="R12" s="27"/>
      <c r="S12" s="45"/>
    </row>
    <row r="13" spans="1:20" s="36" customFormat="1" ht="17.100000000000001" customHeight="1" x14ac:dyDescent="0.2">
      <c r="A13" s="3"/>
      <c r="B13" s="219" t="str">
        <f>CONCATENATE(Calculation!B4,"-",Calculation!F4,Calculation!D4)</f>
        <v>CLU701-1002C4-50NV1N8</v>
      </c>
      <c r="C13" s="220"/>
      <c r="D13" s="221"/>
      <c r="E13" s="244">
        <f>HLOOKUP(E$10,Calculation!$C$33:$P$46,4,FALSE)</f>
        <v>1073.9999978135004</v>
      </c>
      <c r="F13" s="245"/>
      <c r="G13" s="194">
        <f>HLOOKUP(G$10,Calculation!$C$33:$P$46,4,FALSE)</f>
        <v>31.333329983360716</v>
      </c>
      <c r="H13" s="195"/>
      <c r="I13" s="194">
        <f>HLOOKUP(I$10,Calculation!$C$33:$P$46,4,FALSE)</f>
        <v>10.966665494176249</v>
      </c>
      <c r="J13" s="195"/>
      <c r="K13" s="180">
        <f>HLOOKUP(K$10,Calculation!$C$33:$P$46,4,FALSE)</f>
        <v>97.93314097013706</v>
      </c>
      <c r="L13" s="187"/>
      <c r="M13" s="180">
        <f>HLOOKUP(M$10,Calculation!$C$33:$P$46,4,FALSE)</f>
        <v>85.000000884044738</v>
      </c>
      <c r="N13" s="181"/>
      <c r="O13" s="37"/>
      <c r="P13" s="43"/>
      <c r="Q13" s="44"/>
      <c r="R13" s="27"/>
      <c r="S13" s="45"/>
    </row>
    <row r="14" spans="1:20" s="36" customFormat="1" ht="17.100000000000001" customHeight="1" x14ac:dyDescent="0.2">
      <c r="A14" s="3"/>
      <c r="B14" s="222" t="str">
        <f>CONCATENATE(Calculation!B5,"-",Calculation!F5,Calculation!D5)</f>
        <v>CLU711-1204C4-50NV1N8</v>
      </c>
      <c r="C14" s="223"/>
      <c r="D14" s="224"/>
      <c r="E14" s="246">
        <f>HLOOKUP(E$10,Calculation!$C$33:$P$46,5,FALSE)</f>
        <v>1391.3602310900073</v>
      </c>
      <c r="F14" s="247"/>
      <c r="G14" s="196">
        <f>HLOOKUP(G$10,Calculation!$C$33:$P$46,5,FALSE)</f>
        <v>34.719394338546053</v>
      </c>
      <c r="H14" s="197"/>
      <c r="I14" s="196">
        <f>HLOOKUP(I$10,Calculation!$C$33:$P$46,5,FALSE)</f>
        <v>12.15178801849112</v>
      </c>
      <c r="J14" s="197"/>
      <c r="K14" s="182">
        <f>HLOOKUP(K$10,Calculation!$C$33:$P$46,5,FALSE)</f>
        <v>114.49839554251636</v>
      </c>
      <c r="L14" s="167"/>
      <c r="M14" s="182">
        <f>HLOOKUP(M$10,Calculation!$C$33:$P$46,5,FALSE)</f>
        <v>78.511463190189659</v>
      </c>
      <c r="N14" s="183"/>
      <c r="O14" s="37"/>
      <c r="P14" s="43"/>
      <c r="Q14" s="44"/>
      <c r="R14" s="27"/>
      <c r="S14" s="46"/>
      <c r="T14" s="46"/>
    </row>
    <row r="15" spans="1:20" s="36" customFormat="1" ht="17.100000000000001" customHeight="1" x14ac:dyDescent="0.2">
      <c r="A15" s="3"/>
      <c r="B15" s="225" t="str">
        <f>CONCATENATE(Calculation!B6,"-",Calculation!F6,Calculation!D6)</f>
        <v>CLU721-1206C4-50NV1N8</v>
      </c>
      <c r="C15" s="226"/>
      <c r="D15" s="227"/>
      <c r="E15" s="204">
        <f>HLOOKUP(E$10,Calculation!$C$33:$P$46,6,FALSE)</f>
        <v>1418.1823665014429</v>
      </c>
      <c r="F15" s="205"/>
      <c r="G15" s="188">
        <f>HLOOKUP(G$10,Calculation!$C$33:$P$46,6,FALSE)</f>
        <v>33.613108999940344</v>
      </c>
      <c r="H15" s="189"/>
      <c r="I15" s="188">
        <f>HLOOKUP(I$10,Calculation!$C$33:$P$46,6,FALSE)</f>
        <v>11.764588149979121</v>
      </c>
      <c r="J15" s="189"/>
      <c r="K15" s="160">
        <f>HLOOKUP(K$10,Calculation!$C$33:$P$46,6,FALSE)</f>
        <v>120.54670749387515</v>
      </c>
      <c r="L15" s="166"/>
      <c r="M15" s="160">
        <f>HLOOKUP(M$10,Calculation!$C$33:$P$46,6,FALSE)</f>
        <v>74.51208898335021</v>
      </c>
      <c r="N15" s="161"/>
      <c r="O15" s="37"/>
      <c r="P15" s="43"/>
      <c r="Q15" s="44"/>
      <c r="R15" s="27"/>
      <c r="S15" s="46"/>
      <c r="T15" s="46"/>
    </row>
    <row r="16" spans="1:20" s="36" customFormat="1" ht="17.100000000000001" customHeight="1" thickBot="1" x14ac:dyDescent="0.25">
      <c r="A16" s="3"/>
      <c r="B16" s="150" t="str">
        <f>CONCATENATE(Calculation!B7,"-",Calculation!F7,Calculation!D7)</f>
        <v>CLU731-1210C4-50NV1N8</v>
      </c>
      <c r="C16" s="151"/>
      <c r="D16" s="152"/>
      <c r="E16" s="153">
        <f>HLOOKUP(E$10,Calculation!$C$33:$P$46,7,FALSE)</f>
        <v>1442.2047664934448</v>
      </c>
      <c r="F16" s="154"/>
      <c r="G16" s="155">
        <f>HLOOKUP(G$10,Calculation!$C$33:$P$46,7,FALSE)</f>
        <v>32.569252637742885</v>
      </c>
      <c r="H16" s="156"/>
      <c r="I16" s="155">
        <f>HLOOKUP(I$10,Calculation!$C$33:$P$46,7,FALSE)</f>
        <v>11.39923842321001</v>
      </c>
      <c r="J16" s="156"/>
      <c r="K16" s="157">
        <f>HLOOKUP(K$10,Calculation!$C$33:$P$46,7,FALSE)</f>
        <v>126.51764205203122</v>
      </c>
      <c r="L16" s="158"/>
      <c r="M16" s="157">
        <f>HLOOKUP(M$10,Calculation!$C$33:$P$46,7,FALSE)</f>
        <v>72.241016231110933</v>
      </c>
      <c r="N16" s="159"/>
      <c r="O16" s="37"/>
      <c r="P16" s="43"/>
      <c r="Q16" s="44"/>
      <c r="R16" s="27"/>
      <c r="S16" s="46"/>
      <c r="T16" s="46"/>
    </row>
    <row r="17" spans="1:20" s="36" customFormat="1" ht="17.100000000000001" hidden="1" customHeight="1" x14ac:dyDescent="0.2">
      <c r="A17" s="3"/>
      <c r="B17" s="228" t="str">
        <f>CONCATENATE(Calculation!B8,"-",Calculation!F8,Calculation!D8)</f>
        <v>-</v>
      </c>
      <c r="C17" s="229"/>
      <c r="D17" s="230"/>
      <c r="E17" s="248" t="e">
        <f>HLOOKUP(E$10,Calculation!$C$33:$P$46,8,FALSE)</f>
        <v>#DIV/0!</v>
      </c>
      <c r="F17" s="249"/>
      <c r="G17" s="198" t="e">
        <f>HLOOKUP(G$10,Calculation!$C$33:$P$46,8,FALSE)</f>
        <v>#DIV/0!</v>
      </c>
      <c r="H17" s="199"/>
      <c r="I17" s="198" t="e">
        <f>HLOOKUP(I$10,Calculation!$C$33:$P$46,8,FALSE)</f>
        <v>#DIV/0!</v>
      </c>
      <c r="J17" s="199"/>
      <c r="K17" s="170" t="e">
        <f>HLOOKUP(K$10,Calculation!$C$33:$P$46,8,FALSE)</f>
        <v>#DIV/0!</v>
      </c>
      <c r="L17" s="171"/>
      <c r="M17" s="170" t="e">
        <f>HLOOKUP(M$10,Calculation!$C$33:$P$46,8,FALSE)</f>
        <v>#DIV/0!</v>
      </c>
      <c r="N17" s="184"/>
      <c r="O17" s="37"/>
      <c r="P17" s="43"/>
      <c r="Q17" s="44"/>
      <c r="R17" s="27"/>
      <c r="S17" s="46"/>
      <c r="T17" s="46"/>
    </row>
    <row r="18" spans="1:20" s="36" customFormat="1" ht="17.100000000000001" hidden="1" customHeight="1" x14ac:dyDescent="0.2">
      <c r="A18" s="3"/>
      <c r="B18" s="231" t="str">
        <f>CONCATENATE(Calculation!B9,"-",Calculation!F9,Calculation!D9)</f>
        <v>-</v>
      </c>
      <c r="C18" s="232"/>
      <c r="D18" s="233"/>
      <c r="E18" s="202" t="e">
        <f>HLOOKUP(E$10,Calculation!$C$33:$P$46,9,FALSE)</f>
        <v>#DIV/0!</v>
      </c>
      <c r="F18" s="203"/>
      <c r="G18" s="200" t="e">
        <f>HLOOKUP(G$10,Calculation!$C$33:$P$46,9,FALSE)</f>
        <v>#DIV/0!</v>
      </c>
      <c r="H18" s="201"/>
      <c r="I18" s="200" t="e">
        <f>HLOOKUP(I$10,Calculation!$C$33:$P$46,9,FALSE)</f>
        <v>#DIV/0!</v>
      </c>
      <c r="J18" s="201"/>
      <c r="K18" s="164" t="e">
        <f>HLOOKUP(K$10,Calculation!$C$33:$P$46,9,FALSE)</f>
        <v>#DIV/0!</v>
      </c>
      <c r="L18" s="168"/>
      <c r="M18" s="164" t="e">
        <f>HLOOKUP(M$10,Calculation!$C$33:$P$46,9,FALSE)</f>
        <v>#DIV/0!</v>
      </c>
      <c r="N18" s="165"/>
      <c r="O18" s="37"/>
      <c r="P18" s="43"/>
      <c r="Q18" s="44"/>
      <c r="R18" s="27"/>
      <c r="S18" s="46"/>
      <c r="T18" s="46"/>
    </row>
    <row r="19" spans="1:20" s="36" customFormat="1" ht="17.100000000000001" hidden="1" customHeight="1" x14ac:dyDescent="0.2">
      <c r="A19" s="3"/>
      <c r="B19" s="231" t="str">
        <f>CONCATENATE(Calculation!B10,"-",Calculation!F10,Calculation!D10)</f>
        <v>-</v>
      </c>
      <c r="C19" s="234"/>
      <c r="D19" s="235"/>
      <c r="E19" s="202" t="e">
        <f>HLOOKUP(E$10,Calculation!$C$33:$P$46,10,FALSE)</f>
        <v>#DIV/0!</v>
      </c>
      <c r="F19" s="203"/>
      <c r="G19" s="200" t="e">
        <f>HLOOKUP(G$10,Calculation!$C$33:$P$46,10,FALSE)</f>
        <v>#DIV/0!</v>
      </c>
      <c r="H19" s="201"/>
      <c r="I19" s="200" t="e">
        <f>HLOOKUP(I$10,Calculation!$C$33:$P$46,10,FALSE)</f>
        <v>#DIV/0!</v>
      </c>
      <c r="J19" s="201"/>
      <c r="K19" s="164" t="e">
        <f>HLOOKUP(K$10,Calculation!$C$33:$P$46,10,FALSE)</f>
        <v>#DIV/0!</v>
      </c>
      <c r="L19" s="169"/>
      <c r="M19" s="164" t="e">
        <f>HLOOKUP(M$10,Calculation!$C$33:$P$46,10,FALSE)</f>
        <v>#DIV/0!</v>
      </c>
      <c r="N19" s="165"/>
      <c r="O19" s="37"/>
      <c r="P19" s="43"/>
      <c r="Q19" s="44"/>
      <c r="R19" s="27"/>
      <c r="S19" s="46"/>
      <c r="T19" s="46"/>
    </row>
    <row r="20" spans="1:20" s="36" customFormat="1" ht="17.100000000000001" hidden="1" customHeight="1" x14ac:dyDescent="0.2">
      <c r="A20" s="3"/>
      <c r="B20" s="225" t="str">
        <f>CONCATENATE(Calculation!B11,"-",Calculation!F11,Calculation!D11)</f>
        <v>-</v>
      </c>
      <c r="C20" s="239"/>
      <c r="D20" s="240"/>
      <c r="E20" s="204" t="e">
        <f>HLOOKUP(E$10,Calculation!$C$33:$P$46,11,FALSE)</f>
        <v>#DIV/0!</v>
      </c>
      <c r="F20" s="205"/>
      <c r="G20" s="188" t="e">
        <f>HLOOKUP(G$10,Calculation!$C$33:$P$46,11,FALSE)</f>
        <v>#DIV/0!</v>
      </c>
      <c r="H20" s="189"/>
      <c r="I20" s="188" t="e">
        <f>HLOOKUP(I$10,Calculation!$C$33:$P$46,11,FALSE)</f>
        <v>#DIV/0!</v>
      </c>
      <c r="J20" s="189"/>
      <c r="K20" s="160" t="e">
        <f>HLOOKUP(K$10,Calculation!$C$33:$P$46,11,FALSE)</f>
        <v>#DIV/0!</v>
      </c>
      <c r="L20" s="166"/>
      <c r="M20" s="160" t="e">
        <f>HLOOKUP(M$10,Calculation!$C$33:$P$46,11,FALSE)</f>
        <v>#DIV/0!</v>
      </c>
      <c r="N20" s="161"/>
      <c r="O20" s="37"/>
      <c r="P20" s="43"/>
      <c r="Q20" s="44"/>
      <c r="R20" s="27"/>
      <c r="S20" s="46"/>
      <c r="T20" s="46"/>
    </row>
    <row r="21" spans="1:20" s="36" customFormat="1" ht="17.100000000000001" hidden="1" customHeight="1" x14ac:dyDescent="0.2">
      <c r="A21" s="3"/>
      <c r="B21" s="225" t="str">
        <f>CONCATENATE(Calculation!B12,"-",Calculation!F12,Calculation!D12)</f>
        <v>-</v>
      </c>
      <c r="C21" s="239"/>
      <c r="D21" s="240"/>
      <c r="E21" s="204" t="e">
        <f>HLOOKUP(E$10,Calculation!$C$33:$P$46,12,FALSE)</f>
        <v>#DIV/0!</v>
      </c>
      <c r="F21" s="205"/>
      <c r="G21" s="188" t="e">
        <f>HLOOKUP(G$10,Calculation!$C$33:$P$46,12,FALSE)</f>
        <v>#DIV/0!</v>
      </c>
      <c r="H21" s="189"/>
      <c r="I21" s="188" t="e">
        <f>HLOOKUP(I$10,Calculation!$C$33:$P$46,12,FALSE)</f>
        <v>#DIV/0!</v>
      </c>
      <c r="J21" s="189"/>
      <c r="K21" s="160" t="e">
        <f>HLOOKUP(K$10,Calculation!$C$33:$P$46,12,FALSE)</f>
        <v>#DIV/0!</v>
      </c>
      <c r="L21" s="166"/>
      <c r="M21" s="160" t="e">
        <f>HLOOKUP(M$10,Calculation!$C$33:$P$46,12,FALSE)</f>
        <v>#DIV/0!</v>
      </c>
      <c r="N21" s="161"/>
      <c r="O21" s="37"/>
      <c r="P21" s="43"/>
      <c r="Q21" s="44"/>
      <c r="R21" s="27"/>
      <c r="S21" s="45"/>
    </row>
    <row r="22" spans="1:20" s="36" customFormat="1" ht="17.100000000000001" hidden="1" customHeight="1" x14ac:dyDescent="0.2">
      <c r="A22" s="3"/>
      <c r="B22" s="210" t="str">
        <f>CONCATENATE(Calculation!B13,"-",Calculation!F13,Calculation!D13)</f>
        <v>-</v>
      </c>
      <c r="C22" s="211"/>
      <c r="D22" s="212"/>
      <c r="E22" s="236" t="e">
        <f>HLOOKUP(E$10,Calculation!$C$33:$P$46,13,FALSE)</f>
        <v>#DIV/0!</v>
      </c>
      <c r="F22" s="237"/>
      <c r="G22" s="190" t="e">
        <f>HLOOKUP(G$10,Calculation!$C$33:$P$46,13,FALSE)</f>
        <v>#DIV/0!</v>
      </c>
      <c r="H22" s="191"/>
      <c r="I22" s="190" t="e">
        <f>HLOOKUP(I$10,Calculation!$C$33:$P$46,13,FALSE)</f>
        <v>#DIV/0!</v>
      </c>
      <c r="J22" s="191"/>
      <c r="K22" s="162" t="e">
        <f>HLOOKUP(K$10,Calculation!$C$33:$P$46,13,FALSE)</f>
        <v>#DIV/0!</v>
      </c>
      <c r="L22" s="167"/>
      <c r="M22" s="162" t="e">
        <f>HLOOKUP(M$10,Calculation!$C$33:$P$46,13,FALSE)</f>
        <v>#DIV/0!</v>
      </c>
      <c r="N22" s="163"/>
      <c r="O22" s="37"/>
      <c r="P22" s="43"/>
      <c r="Q22" s="44"/>
      <c r="R22" s="27"/>
      <c r="S22" s="45"/>
    </row>
    <row r="23" spans="1:20" s="36" customFormat="1" ht="17.100000000000001" hidden="1" customHeight="1" thickBot="1" x14ac:dyDescent="0.25">
      <c r="A23" s="3"/>
      <c r="B23" s="150" t="str">
        <f>CONCATENATE(Calculation!B14,"-",Calculation!F14,Calculation!D14)</f>
        <v>-</v>
      </c>
      <c r="C23" s="151"/>
      <c r="D23" s="152"/>
      <c r="E23" s="153" t="e">
        <f>HLOOKUP(E$10,Calculation!$C$33:$P$46,14,FALSE)</f>
        <v>#DIV/0!</v>
      </c>
      <c r="F23" s="154"/>
      <c r="G23" s="155" t="e">
        <f>HLOOKUP(G$10,Calculation!$C$33:$P$46,14,FALSE)</f>
        <v>#DIV/0!</v>
      </c>
      <c r="H23" s="156"/>
      <c r="I23" s="155" t="e">
        <f>HLOOKUP(I$10,Calculation!$C$33:$P$46,14,FALSE)</f>
        <v>#DIV/0!</v>
      </c>
      <c r="J23" s="156"/>
      <c r="K23" s="157" t="e">
        <f>HLOOKUP(K$10,Calculation!$C$33:$P$46,14,FALSE)</f>
        <v>#DIV/0!</v>
      </c>
      <c r="L23" s="158"/>
      <c r="M23" s="157" t="e">
        <f>HLOOKUP(M$10,Calculation!$C$33:$P$46,14,FALSE)</f>
        <v>#DIV/0!</v>
      </c>
      <c r="N23" s="159"/>
      <c r="O23" s="37"/>
      <c r="P23" s="43"/>
      <c r="Q23" s="44"/>
      <c r="R23" s="27"/>
      <c r="S23" s="45"/>
    </row>
    <row r="24" spans="1:20" ht="24.95" customHeight="1" x14ac:dyDescent="0.25">
      <c r="A24" s="3"/>
      <c r="B24" s="3"/>
      <c r="C24" s="24" t="s">
        <v>14</v>
      </c>
      <c r="D24" s="3"/>
      <c r="E24" s="3"/>
      <c r="F24" s="3"/>
      <c r="G24" s="3"/>
      <c r="H24" s="3"/>
      <c r="I24" s="3"/>
      <c r="J24" s="25"/>
      <c r="K24" s="36"/>
      <c r="N24" s="147" t="s">
        <v>124</v>
      </c>
    </row>
    <row r="25" spans="1:20" ht="12.95" customHeight="1" x14ac:dyDescent="0.2">
      <c r="A25" s="36"/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</row>
    <row r="26" spans="1:20" ht="12.95" customHeight="1" x14ac:dyDescent="0.2">
      <c r="A26" s="36"/>
      <c r="B26" s="38" t="s">
        <v>77</v>
      </c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</row>
    <row r="27" spans="1:20" ht="17.100000000000001" customHeight="1" x14ac:dyDescent="0.2">
      <c r="A27" s="36"/>
      <c r="B27" s="38" t="s">
        <v>78</v>
      </c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</row>
    <row r="28" spans="1:20" ht="17.100000000000001" customHeight="1" x14ac:dyDescent="0.2">
      <c r="A28" s="36"/>
      <c r="B28" s="38" t="s">
        <v>79</v>
      </c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</row>
    <row r="29" spans="1:20" ht="17.100000000000001" customHeight="1" x14ac:dyDescent="0.2">
      <c r="A29" s="36"/>
      <c r="B29" s="38" t="s">
        <v>80</v>
      </c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</row>
    <row r="30" spans="1:20" ht="15" customHeight="1" x14ac:dyDescent="0.2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</row>
    <row r="31" spans="1:20" ht="15" customHeight="1" x14ac:dyDescent="0.2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</row>
    <row r="32" spans="1:20" ht="15" customHeight="1" x14ac:dyDescent="0.2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</row>
    <row r="33" spans="1:22" ht="15" customHeight="1" x14ac:dyDescent="0.2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</row>
    <row r="35" spans="1:22" x14ac:dyDescent="0.2">
      <c r="U35" s="28"/>
      <c r="V35" s="28"/>
    </row>
    <row r="38" spans="1:22" x14ac:dyDescent="0.2">
      <c r="V38" s="39"/>
    </row>
    <row r="39" spans="1:22" x14ac:dyDescent="0.2">
      <c r="V39" s="39"/>
    </row>
    <row r="40" spans="1:22" x14ac:dyDescent="0.2">
      <c r="V40" s="39"/>
    </row>
    <row r="41" spans="1:22" x14ac:dyDescent="0.2">
      <c r="U41" s="40"/>
      <c r="V41" s="39"/>
    </row>
    <row r="42" spans="1:22" x14ac:dyDescent="0.2">
      <c r="V42" s="39"/>
    </row>
    <row r="50" spans="2:4" x14ac:dyDescent="0.2">
      <c r="B50" s="41"/>
      <c r="C50" s="41"/>
      <c r="D50" s="41"/>
    </row>
    <row r="51" spans="2:4" x14ac:dyDescent="0.2">
      <c r="B51" s="41"/>
      <c r="C51" s="41"/>
      <c r="D51" s="41"/>
    </row>
  </sheetData>
  <sheetProtection password="C071" sheet="1" objects="1" scenarios="1"/>
  <mergeCells count="86">
    <mergeCell ref="K14:L14"/>
    <mergeCell ref="B20:D20"/>
    <mergeCell ref="B21:D21"/>
    <mergeCell ref="B11:D11"/>
    <mergeCell ref="K11:L11"/>
    <mergeCell ref="G14:H14"/>
    <mergeCell ref="G15:H15"/>
    <mergeCell ref="G16:H16"/>
    <mergeCell ref="G17:H17"/>
    <mergeCell ref="I11:J11"/>
    <mergeCell ref="E12:F12"/>
    <mergeCell ref="E13:F13"/>
    <mergeCell ref="E14:F14"/>
    <mergeCell ref="E15:F15"/>
    <mergeCell ref="E16:F16"/>
    <mergeCell ref="E17:F17"/>
    <mergeCell ref="G9:H9"/>
    <mergeCell ref="G12:H12"/>
    <mergeCell ref="G13:H13"/>
    <mergeCell ref="G11:H11"/>
    <mergeCell ref="B22:D22"/>
    <mergeCell ref="B9:D9"/>
    <mergeCell ref="B12:D12"/>
    <mergeCell ref="B13:D13"/>
    <mergeCell ref="B14:D14"/>
    <mergeCell ref="B15:D15"/>
    <mergeCell ref="B16:D16"/>
    <mergeCell ref="B17:D17"/>
    <mergeCell ref="B18:D18"/>
    <mergeCell ref="B19:D19"/>
    <mergeCell ref="E22:F22"/>
    <mergeCell ref="E9:F9"/>
    <mergeCell ref="E18:F18"/>
    <mergeCell ref="E19:F19"/>
    <mergeCell ref="E20:F20"/>
    <mergeCell ref="E21:F21"/>
    <mergeCell ref="E11:F11"/>
    <mergeCell ref="G22:H22"/>
    <mergeCell ref="G19:H19"/>
    <mergeCell ref="G20:H20"/>
    <mergeCell ref="G21:H21"/>
    <mergeCell ref="G18:H18"/>
    <mergeCell ref="I21:J21"/>
    <mergeCell ref="I22:J22"/>
    <mergeCell ref="I9:J9"/>
    <mergeCell ref="I12:J12"/>
    <mergeCell ref="I13:J13"/>
    <mergeCell ref="I14:J14"/>
    <mergeCell ref="I15:J15"/>
    <mergeCell ref="I16:J16"/>
    <mergeCell ref="I17:J17"/>
    <mergeCell ref="I18:J18"/>
    <mergeCell ref="I19:J19"/>
    <mergeCell ref="I20:J20"/>
    <mergeCell ref="K20:L20"/>
    <mergeCell ref="K16:L16"/>
    <mergeCell ref="K17:L17"/>
    <mergeCell ref="L6:M6"/>
    <mergeCell ref="J6:K6"/>
    <mergeCell ref="M19:N19"/>
    <mergeCell ref="M20:N20"/>
    <mergeCell ref="M9:N9"/>
    <mergeCell ref="M12:N12"/>
    <mergeCell ref="M13:N13"/>
    <mergeCell ref="M14:N14"/>
    <mergeCell ref="M16:N16"/>
    <mergeCell ref="M17:N17"/>
    <mergeCell ref="K9:L9"/>
    <mergeCell ref="K12:L12"/>
    <mergeCell ref="K13:L13"/>
    <mergeCell ref="M11:N11"/>
    <mergeCell ref="B23:D23"/>
    <mergeCell ref="E23:F23"/>
    <mergeCell ref="G23:H23"/>
    <mergeCell ref="I23:J23"/>
    <mergeCell ref="K23:L23"/>
    <mergeCell ref="M23:N23"/>
    <mergeCell ref="M21:N21"/>
    <mergeCell ref="M22:N22"/>
    <mergeCell ref="M15:N15"/>
    <mergeCell ref="M18:N18"/>
    <mergeCell ref="K21:L21"/>
    <mergeCell ref="K22:L22"/>
    <mergeCell ref="K15:L15"/>
    <mergeCell ref="K18:L18"/>
    <mergeCell ref="K19:L19"/>
  </mergeCells>
  <phoneticPr fontId="2"/>
  <conditionalFormatting sqref="E17:N21">
    <cfRule type="cellIs" dxfId="12" priority="17" stopIfTrue="1" operator="equal">
      <formula>"Not Applicable"</formula>
    </cfRule>
  </conditionalFormatting>
  <conditionalFormatting sqref="L6:M6">
    <cfRule type="cellIs" dxfId="11" priority="20" stopIfTrue="1" operator="greaterThanOrEqual">
      <formula>105.001</formula>
    </cfRule>
    <cfRule type="cellIs" dxfId="10" priority="21" stopIfTrue="1" operator="lessThanOrEqual">
      <formula>-40.001</formula>
    </cfRule>
  </conditionalFormatting>
  <conditionalFormatting sqref="E22:N22">
    <cfRule type="cellIs" dxfId="9" priority="22" stopIfTrue="1" operator="equal">
      <formula>"Not Applicable"</formula>
    </cfRule>
  </conditionalFormatting>
  <conditionalFormatting sqref="E23:N23">
    <cfRule type="cellIs" dxfId="8" priority="6" stopIfTrue="1" operator="equal">
      <formula>"Not Applicable"</formula>
    </cfRule>
  </conditionalFormatting>
  <conditionalFormatting sqref="E11:N12">
    <cfRule type="cellIs" dxfId="7" priority="5" stopIfTrue="1" operator="equal">
      <formula>"Not Applicable"</formula>
    </cfRule>
  </conditionalFormatting>
  <conditionalFormatting sqref="E13:N13">
    <cfRule type="cellIs" dxfId="6" priority="4" stopIfTrue="1" operator="equal">
      <formula>"Not Applicable"</formula>
    </cfRule>
  </conditionalFormatting>
  <conditionalFormatting sqref="E14:N14">
    <cfRule type="cellIs" dxfId="5" priority="3" stopIfTrue="1" operator="equal">
      <formula>"Not Applicable"</formula>
    </cfRule>
  </conditionalFormatting>
  <conditionalFormatting sqref="E15:N15">
    <cfRule type="cellIs" dxfId="4" priority="2" stopIfTrue="1" operator="equal">
      <formula>"Not Applicable"</formula>
    </cfRule>
  </conditionalFormatting>
  <conditionalFormatting sqref="E16:N16">
    <cfRule type="cellIs" dxfId="3" priority="1" stopIfTrue="1" operator="equal">
      <formula>"Not Applicable"</formula>
    </cfRule>
  </conditionalFormatting>
  <pageMargins left="0.39370078740157483" right="0.39370078740157483" top="0.39370078740157483" bottom="0.39370078740157483" header="0.51181102362204722" footer="0.51181102362204722"/>
  <pageSetup paperSize="9" scale="140" orientation="landscape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8" r:id="rId4" name="Drop Down 14">
              <controlPr locked="0" defaultSize="0" autoLine="0" autoPict="0">
                <anchor moveWithCells="1">
                  <from>
                    <xdr:col>2</xdr:col>
                    <xdr:colOff>9525</xdr:colOff>
                    <xdr:row>4</xdr:row>
                    <xdr:rowOff>200025</xdr:rowOff>
                  </from>
                  <to>
                    <xdr:col>3</xdr:col>
                    <xdr:colOff>333375</xdr:colOff>
                    <xdr:row>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5" name="Drop Down 17">
              <controlPr locked="0" defaultSize="0" autoLine="0" autoPict="0">
                <anchor moveWithCells="1">
                  <from>
                    <xdr:col>3</xdr:col>
                    <xdr:colOff>533400</xdr:colOff>
                    <xdr:row>4</xdr:row>
                    <xdr:rowOff>200025</xdr:rowOff>
                  </from>
                  <to>
                    <xdr:col>5</xdr:col>
                    <xdr:colOff>495300</xdr:colOff>
                    <xdr:row>6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AD185"/>
  <sheetViews>
    <sheetView topLeftCell="AE181" zoomScale="40" zoomScaleNormal="40" workbookViewId="0">
      <selection activeCell="AV211" sqref="AV211"/>
    </sheetView>
  </sheetViews>
  <sheetFormatPr defaultColWidth="2.5" defaultRowHeight="23.25" customHeight="1" x14ac:dyDescent="0.15"/>
  <cols>
    <col min="1" max="1" width="3.25" style="49" hidden="1" customWidth="1"/>
    <col min="2" max="2" width="16.875" style="49" hidden="1" customWidth="1"/>
    <col min="3" max="3" width="39.625" style="49" hidden="1" customWidth="1"/>
    <col min="4" max="4" width="19.375" style="49" hidden="1" customWidth="1"/>
    <col min="5" max="7" width="14.125" style="49" hidden="1" customWidth="1"/>
    <col min="8" max="8" width="16.625" style="49" hidden="1" customWidth="1"/>
    <col min="9" max="9" width="14.125" style="49" hidden="1" customWidth="1"/>
    <col min="10" max="11" width="19.75" style="49" hidden="1" customWidth="1"/>
    <col min="12" max="12" width="13.625" style="49" hidden="1" customWidth="1"/>
    <col min="13" max="13" width="12.75" style="49" hidden="1" customWidth="1"/>
    <col min="14" max="14" width="21.625" style="49" hidden="1" customWidth="1"/>
    <col min="15" max="15" width="12.75" style="49" hidden="1" customWidth="1"/>
    <col min="16" max="16" width="16.375" style="49" hidden="1" customWidth="1"/>
    <col min="17" max="17" width="12.75" style="49" hidden="1" customWidth="1"/>
    <col min="18" max="18" width="21.875" style="49" hidden="1" customWidth="1"/>
    <col min="19" max="19" width="15.25" style="49" hidden="1" customWidth="1"/>
    <col min="20" max="20" width="12.75" style="49" hidden="1" customWidth="1"/>
    <col min="21" max="24" width="20.5" style="49" hidden="1" customWidth="1"/>
    <col min="25" max="27" width="19.75" style="49" hidden="1" customWidth="1"/>
    <col min="28" max="30" width="12.625" style="49" hidden="1" customWidth="1"/>
    <col min="31" max="16384" width="2.5" style="49"/>
  </cols>
  <sheetData>
    <row r="1" spans="1:24" ht="14.25" hidden="1" x14ac:dyDescent="0.15">
      <c r="A1" s="48"/>
      <c r="B1" s="48" t="s">
        <v>15</v>
      </c>
      <c r="C1" s="48"/>
      <c r="D1" s="48"/>
      <c r="E1" s="48"/>
      <c r="F1" s="48"/>
      <c r="G1" s="48" t="s">
        <v>16</v>
      </c>
      <c r="H1" s="146" t="s">
        <v>17</v>
      </c>
      <c r="I1" s="48"/>
      <c r="K1" s="50" t="s">
        <v>18</v>
      </c>
      <c r="L1" s="50" t="s">
        <v>19</v>
      </c>
      <c r="M1" s="50" t="s">
        <v>20</v>
      </c>
      <c r="N1" s="48"/>
      <c r="O1" s="48"/>
      <c r="P1" s="48"/>
      <c r="Q1" s="48"/>
      <c r="R1" s="48"/>
      <c r="S1" s="48"/>
      <c r="T1" s="48"/>
      <c r="U1" s="48"/>
      <c r="V1" s="48"/>
      <c r="W1" s="48"/>
    </row>
    <row r="2" spans="1:24" ht="14.25" hidden="1" x14ac:dyDescent="0.15">
      <c r="A2" s="48"/>
      <c r="B2" s="117" t="s">
        <v>92</v>
      </c>
      <c r="C2" s="48" t="str">
        <f>VLOOKUP(Simulator!$C$6,I2:M20,2,FALSE)</f>
        <v>C4</v>
      </c>
      <c r="D2" s="48" t="str">
        <f>VLOOKUP(Simulator!$C$6,I2:M20,5,FALSE)</f>
        <v>N8</v>
      </c>
      <c r="E2" s="48" t="str">
        <f>VLOOKUP(Simulator!$C$6,$I$2:$M$20,3,FALSE)</f>
        <v>5000K Natural</v>
      </c>
      <c r="F2" s="48" t="str">
        <f>VLOOKUP(Simulator!$C$6,I2:M20,4,FALSE)</f>
        <v>50NV1</v>
      </c>
      <c r="G2" s="48" t="s">
        <v>21</v>
      </c>
      <c r="H2" s="146" t="s">
        <v>118</v>
      </c>
      <c r="I2" s="117">
        <v>1</v>
      </c>
      <c r="J2" s="119" t="s">
        <v>98</v>
      </c>
      <c r="K2" s="120" t="s">
        <v>123</v>
      </c>
      <c r="L2" s="117" t="s">
        <v>111</v>
      </c>
      <c r="M2" s="117" t="s">
        <v>112</v>
      </c>
      <c r="N2" s="48"/>
      <c r="O2" s="48"/>
      <c r="P2" s="48"/>
      <c r="Q2" s="48"/>
      <c r="R2" s="48"/>
      <c r="S2" s="48"/>
      <c r="T2" s="48"/>
      <c r="U2" s="48"/>
      <c r="V2" s="48"/>
      <c r="W2" s="48"/>
    </row>
    <row r="3" spans="1:24" ht="14.25" hidden="1" x14ac:dyDescent="0.15">
      <c r="A3" s="48"/>
      <c r="B3" s="146" t="s">
        <v>93</v>
      </c>
      <c r="C3" s="48" t="str">
        <f t="shared" ref="C3:C7" si="0">$C$2</f>
        <v>C4</v>
      </c>
      <c r="D3" s="48" t="str">
        <f t="shared" ref="D3:D7" si="1">$D$2</f>
        <v>N8</v>
      </c>
      <c r="E3" s="48" t="str">
        <f>$E$2</f>
        <v>5000K Natural</v>
      </c>
      <c r="F3" s="48" t="str">
        <f t="shared" ref="F3:F7" si="2">$F$2</f>
        <v>50NV1</v>
      </c>
      <c r="G3" s="48" t="s">
        <v>83</v>
      </c>
      <c r="H3" s="146" t="s">
        <v>118</v>
      </c>
      <c r="I3" s="117">
        <v>2</v>
      </c>
      <c r="J3" s="119" t="s">
        <v>98</v>
      </c>
      <c r="K3" s="120" t="s">
        <v>122</v>
      </c>
      <c r="L3" s="117" t="s">
        <v>113</v>
      </c>
      <c r="M3" s="117" t="s">
        <v>112</v>
      </c>
      <c r="N3" s="48"/>
      <c r="O3" s="48"/>
      <c r="P3" s="48"/>
      <c r="Q3" s="48"/>
      <c r="R3" s="48"/>
      <c r="S3" s="48"/>
      <c r="T3" s="48"/>
      <c r="U3" s="48"/>
      <c r="V3" s="48"/>
      <c r="W3" s="48"/>
      <c r="X3" s="52"/>
    </row>
    <row r="4" spans="1:24" ht="14.25" hidden="1" x14ac:dyDescent="0.15">
      <c r="A4" s="48"/>
      <c r="B4" s="117" t="s">
        <v>94</v>
      </c>
      <c r="C4" s="48" t="str">
        <f t="shared" si="0"/>
        <v>C4</v>
      </c>
      <c r="D4" s="48" t="str">
        <f t="shared" si="1"/>
        <v>N8</v>
      </c>
      <c r="E4" s="48" t="str">
        <f>$E$2</f>
        <v>5000K Natural</v>
      </c>
      <c r="F4" s="48" t="str">
        <f t="shared" si="2"/>
        <v>50NV1</v>
      </c>
      <c r="G4" s="48" t="s">
        <v>84</v>
      </c>
      <c r="H4" s="146" t="s">
        <v>118</v>
      </c>
      <c r="I4" s="117">
        <v>3</v>
      </c>
      <c r="J4" s="119" t="s">
        <v>98</v>
      </c>
      <c r="K4" s="120" t="s">
        <v>121</v>
      </c>
      <c r="L4" s="117" t="s">
        <v>114</v>
      </c>
      <c r="M4" s="117" t="s">
        <v>112</v>
      </c>
      <c r="N4" s="48"/>
      <c r="O4" s="48"/>
      <c r="P4" s="48"/>
      <c r="Q4" s="48"/>
      <c r="R4" s="48"/>
      <c r="S4" s="48"/>
      <c r="T4" s="48"/>
      <c r="U4" s="48"/>
      <c r="V4" s="48"/>
      <c r="W4" s="48"/>
      <c r="X4" s="52"/>
    </row>
    <row r="5" spans="1:24" ht="14.25" hidden="1" x14ac:dyDescent="0.15">
      <c r="A5" s="48"/>
      <c r="B5" s="117" t="s">
        <v>95</v>
      </c>
      <c r="C5" s="48" t="str">
        <f t="shared" si="0"/>
        <v>C4</v>
      </c>
      <c r="D5" s="48" t="str">
        <f t="shared" si="1"/>
        <v>N8</v>
      </c>
      <c r="E5" s="48" t="str">
        <f t="shared" ref="E5:E7" si="3">$E$2</f>
        <v>5000K Natural</v>
      </c>
      <c r="F5" s="48" t="str">
        <f t="shared" si="2"/>
        <v>50NV1</v>
      </c>
      <c r="G5" s="48" t="s">
        <v>22</v>
      </c>
      <c r="H5" s="146" t="s">
        <v>118</v>
      </c>
      <c r="I5" s="117">
        <v>4</v>
      </c>
      <c r="J5" s="119" t="s">
        <v>98</v>
      </c>
      <c r="K5" s="120" t="s">
        <v>120</v>
      </c>
      <c r="L5" s="117" t="s">
        <v>115</v>
      </c>
      <c r="M5" s="117" t="s">
        <v>112</v>
      </c>
      <c r="N5" s="48"/>
      <c r="O5" s="48"/>
      <c r="P5" s="48"/>
      <c r="Q5" s="48"/>
      <c r="R5" s="48"/>
      <c r="S5" s="48"/>
      <c r="T5" s="48"/>
      <c r="U5" s="48"/>
      <c r="V5" s="48"/>
      <c r="W5" s="48"/>
      <c r="X5" s="52"/>
    </row>
    <row r="6" spans="1:24" ht="14.25" hidden="1" x14ac:dyDescent="0.15">
      <c r="A6" s="48"/>
      <c r="B6" s="117" t="s">
        <v>96</v>
      </c>
      <c r="C6" s="48" t="str">
        <f t="shared" si="0"/>
        <v>C4</v>
      </c>
      <c r="D6" s="48" t="str">
        <f t="shared" si="1"/>
        <v>N8</v>
      </c>
      <c r="E6" s="48" t="str">
        <f t="shared" si="3"/>
        <v>5000K Natural</v>
      </c>
      <c r="F6" s="48" t="str">
        <f t="shared" si="2"/>
        <v>50NV1</v>
      </c>
      <c r="G6" s="48" t="s">
        <v>9</v>
      </c>
      <c r="H6" s="146" t="s">
        <v>118</v>
      </c>
      <c r="I6" s="117">
        <v>5</v>
      </c>
      <c r="J6" s="119" t="s">
        <v>98</v>
      </c>
      <c r="K6" s="120" t="s">
        <v>119</v>
      </c>
      <c r="L6" s="117" t="s">
        <v>116</v>
      </c>
      <c r="M6" s="117" t="s">
        <v>112</v>
      </c>
      <c r="R6" s="48"/>
      <c r="S6" s="48"/>
      <c r="T6" s="48"/>
      <c r="U6" s="48"/>
      <c r="V6" s="48"/>
      <c r="W6" s="48"/>
      <c r="X6" s="52"/>
    </row>
    <row r="7" spans="1:24" ht="14.25" hidden="1" x14ac:dyDescent="0.15">
      <c r="A7" s="48"/>
      <c r="B7" s="117" t="s">
        <v>97</v>
      </c>
      <c r="C7" s="48" t="str">
        <f t="shared" si="0"/>
        <v>C4</v>
      </c>
      <c r="D7" s="48" t="str">
        <f t="shared" si="1"/>
        <v>N8</v>
      </c>
      <c r="E7" s="48" t="str">
        <f t="shared" si="3"/>
        <v>5000K Natural</v>
      </c>
      <c r="F7" s="48" t="str">
        <f t="shared" si="2"/>
        <v>50NV1</v>
      </c>
      <c r="G7" s="48"/>
      <c r="H7" s="48"/>
      <c r="I7" s="117"/>
      <c r="J7" s="119"/>
      <c r="K7" s="120"/>
      <c r="L7" s="117"/>
      <c r="M7" s="117"/>
      <c r="N7" s="48"/>
      <c r="O7" s="48"/>
      <c r="P7" s="48"/>
      <c r="Q7" s="48"/>
      <c r="X7" s="52"/>
    </row>
    <row r="8" spans="1:24" ht="14.25" hidden="1" x14ac:dyDescent="0.15">
      <c r="A8" s="48"/>
      <c r="B8" s="117"/>
      <c r="C8" s="48"/>
      <c r="D8" s="48"/>
      <c r="E8" s="48"/>
      <c r="F8" s="48"/>
      <c r="G8" s="48"/>
      <c r="H8" s="48"/>
      <c r="I8" s="117"/>
      <c r="J8" s="119"/>
      <c r="K8" s="120"/>
      <c r="L8" s="117"/>
      <c r="M8" s="117"/>
      <c r="R8" s="48"/>
      <c r="S8" s="48"/>
      <c r="T8" s="48"/>
      <c r="U8" s="48"/>
      <c r="V8" s="48"/>
      <c r="W8" s="48"/>
      <c r="X8" s="52"/>
    </row>
    <row r="9" spans="1:24" ht="14.25" hidden="1" x14ac:dyDescent="0.15">
      <c r="A9" s="48"/>
      <c r="B9" s="117"/>
      <c r="C9" s="48"/>
      <c r="D9" s="48"/>
      <c r="E9" s="48"/>
      <c r="F9" s="48"/>
      <c r="G9" s="48"/>
      <c r="H9" s="48"/>
      <c r="I9" s="117"/>
      <c r="J9" s="119"/>
      <c r="K9" s="120"/>
      <c r="L9" s="117"/>
      <c r="M9" s="117"/>
      <c r="N9" s="48"/>
      <c r="O9" s="48"/>
      <c r="P9" s="48"/>
      <c r="Q9" s="48"/>
      <c r="R9" s="48"/>
      <c r="S9" s="48"/>
      <c r="T9" s="48"/>
      <c r="U9" s="48"/>
      <c r="V9" s="48"/>
      <c r="W9" s="48"/>
    </row>
    <row r="10" spans="1:24" ht="14.25" hidden="1" x14ac:dyDescent="0.15">
      <c r="A10" s="48"/>
      <c r="B10" s="117"/>
      <c r="C10" s="48"/>
      <c r="D10" s="48"/>
      <c r="E10" s="48"/>
      <c r="F10" s="48"/>
      <c r="G10" s="48"/>
      <c r="H10" s="48"/>
      <c r="I10" s="117"/>
      <c r="J10" s="119"/>
      <c r="K10" s="120"/>
      <c r="L10" s="117"/>
      <c r="M10" s="117"/>
      <c r="N10" s="48"/>
      <c r="O10" s="48"/>
      <c r="P10" s="48"/>
      <c r="Q10" s="48"/>
      <c r="R10" s="48"/>
      <c r="S10" s="48"/>
      <c r="T10" s="48"/>
      <c r="U10" s="48"/>
      <c r="V10" s="48"/>
      <c r="W10" s="48"/>
    </row>
    <row r="11" spans="1:24" ht="14.25" hidden="1" x14ac:dyDescent="0.15">
      <c r="A11" s="48"/>
      <c r="B11" s="117"/>
      <c r="C11" s="48"/>
      <c r="D11" s="48"/>
      <c r="E11" s="48"/>
      <c r="F11" s="48"/>
      <c r="G11" s="48"/>
      <c r="H11" s="48"/>
      <c r="I11" s="117"/>
      <c r="J11" s="119"/>
      <c r="K11" s="120"/>
      <c r="L11" s="117"/>
      <c r="M11" s="117"/>
      <c r="N11" s="48"/>
      <c r="O11" s="48"/>
      <c r="P11" s="48"/>
      <c r="Q11" s="48"/>
      <c r="R11" s="48"/>
      <c r="S11" s="48"/>
      <c r="T11" s="48"/>
      <c r="U11" s="48"/>
      <c r="V11" s="48"/>
      <c r="W11" s="48"/>
    </row>
    <row r="12" spans="1:24" ht="14.25" hidden="1" x14ac:dyDescent="0.15">
      <c r="A12" s="48"/>
      <c r="B12" s="117"/>
      <c r="C12" s="48"/>
      <c r="D12" s="48"/>
      <c r="E12" s="48"/>
      <c r="F12" s="48"/>
      <c r="G12" s="48"/>
      <c r="H12" s="48"/>
      <c r="I12" s="117"/>
      <c r="J12" s="119"/>
      <c r="K12" s="120"/>
      <c r="L12" s="117"/>
      <c r="M12" s="117"/>
      <c r="N12" s="48"/>
      <c r="O12" s="48"/>
      <c r="P12" s="48"/>
      <c r="Q12" s="48"/>
      <c r="R12" s="48"/>
      <c r="S12" s="48"/>
      <c r="T12" s="48"/>
      <c r="U12" s="48"/>
      <c r="V12" s="48"/>
      <c r="W12" s="48"/>
    </row>
    <row r="13" spans="1:24" ht="14.25" hidden="1" x14ac:dyDescent="0.15">
      <c r="A13" s="48"/>
      <c r="B13" s="117"/>
      <c r="C13" s="48"/>
      <c r="D13" s="48"/>
      <c r="E13" s="48"/>
      <c r="F13" s="48"/>
      <c r="G13" s="48"/>
      <c r="H13" s="48"/>
      <c r="I13" s="117"/>
      <c r="J13" s="119"/>
      <c r="K13" s="120"/>
      <c r="L13" s="117"/>
      <c r="M13" s="117"/>
      <c r="N13" s="48"/>
      <c r="O13" s="48"/>
      <c r="P13" s="48"/>
      <c r="Q13" s="48"/>
      <c r="R13" s="48"/>
      <c r="S13" s="48"/>
      <c r="T13" s="48"/>
      <c r="U13" s="48"/>
      <c r="V13" s="48"/>
      <c r="W13" s="48"/>
    </row>
    <row r="14" spans="1:24" ht="14.25" hidden="1" x14ac:dyDescent="0.15">
      <c r="A14" s="48"/>
      <c r="B14" s="117"/>
      <c r="C14" s="48"/>
      <c r="D14" s="48"/>
      <c r="E14" s="48"/>
      <c r="F14" s="48"/>
      <c r="G14" s="48"/>
      <c r="H14" s="48"/>
      <c r="I14" s="117"/>
      <c r="J14" s="119"/>
      <c r="K14" s="120"/>
      <c r="L14" s="117"/>
      <c r="M14" s="117"/>
      <c r="N14" s="48"/>
      <c r="O14" s="48"/>
      <c r="P14" s="48"/>
      <c r="Q14" s="48"/>
      <c r="R14" s="48"/>
      <c r="S14" s="48"/>
      <c r="T14" s="48"/>
      <c r="U14" s="48"/>
      <c r="V14" s="48"/>
      <c r="W14" s="48"/>
    </row>
    <row r="15" spans="1:24" ht="14.25" hidden="1" x14ac:dyDescent="0.15">
      <c r="A15" s="48"/>
      <c r="B15" s="48"/>
      <c r="C15" s="48"/>
      <c r="D15" s="48"/>
      <c r="E15" s="48"/>
      <c r="F15" s="48"/>
      <c r="G15" s="48"/>
      <c r="H15" s="48"/>
      <c r="I15" s="48"/>
      <c r="K15" s="51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</row>
    <row r="16" spans="1:24" ht="14.25" hidden="1" x14ac:dyDescent="0.15">
      <c r="A16" s="48"/>
      <c r="B16" s="48"/>
      <c r="C16" s="48"/>
      <c r="D16" s="48"/>
      <c r="E16" s="48"/>
      <c r="F16" s="48"/>
      <c r="G16" s="48"/>
      <c r="H16" s="48"/>
      <c r="I16" s="48"/>
      <c r="K16" s="51"/>
      <c r="L16" s="48"/>
      <c r="M16" s="48"/>
      <c r="N16" s="48"/>
      <c r="O16" s="48"/>
      <c r="P16" s="48"/>
      <c r="Q16" s="48"/>
      <c r="R16" s="48"/>
      <c r="S16" s="48"/>
      <c r="T16" s="48"/>
      <c r="U16" s="48"/>
      <c r="V16" s="48"/>
      <c r="W16" s="48"/>
    </row>
    <row r="17" spans="1:27" ht="14.25" hidden="1" x14ac:dyDescent="0.15">
      <c r="A17" s="48"/>
      <c r="B17" s="48"/>
      <c r="C17" s="48"/>
      <c r="D17" s="48"/>
      <c r="E17" s="48"/>
      <c r="F17" s="48"/>
      <c r="G17" s="48"/>
      <c r="H17" s="48"/>
      <c r="I17" s="48"/>
      <c r="K17" s="51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48"/>
    </row>
    <row r="18" spans="1:27" ht="14.25" hidden="1" x14ac:dyDescent="0.15">
      <c r="A18" s="48"/>
      <c r="B18" s="48"/>
      <c r="C18" s="48"/>
      <c r="D18" s="48"/>
      <c r="E18" s="48"/>
      <c r="F18" s="48"/>
      <c r="G18" s="48"/>
      <c r="H18" s="48"/>
      <c r="I18" s="48"/>
      <c r="K18" s="51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</row>
    <row r="19" spans="1:27" ht="14.25" hidden="1" x14ac:dyDescent="0.15">
      <c r="A19" s="48"/>
      <c r="B19" s="48"/>
      <c r="C19" s="48"/>
      <c r="D19" s="48"/>
      <c r="E19" s="48"/>
      <c r="F19" s="48"/>
      <c r="G19" s="48"/>
      <c r="H19" s="48"/>
      <c r="I19" s="48"/>
      <c r="K19" s="51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</row>
    <row r="20" spans="1:27" ht="14.25" hidden="1" x14ac:dyDescent="0.15">
      <c r="A20" s="48"/>
      <c r="B20" s="48"/>
      <c r="C20" s="48"/>
      <c r="D20" s="48"/>
      <c r="E20" s="48"/>
      <c r="F20" s="48"/>
      <c r="G20" s="48"/>
      <c r="H20" s="48"/>
      <c r="I20" s="48"/>
      <c r="K20" s="51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</row>
    <row r="21" spans="1:27" ht="14.25" hidden="1" x14ac:dyDescent="0.15">
      <c r="A21" s="48"/>
      <c r="B21" s="48"/>
      <c r="C21" s="48"/>
      <c r="D21" s="48"/>
      <c r="E21" s="48"/>
      <c r="F21" s="48"/>
      <c r="G21" s="48"/>
      <c r="H21" s="48"/>
      <c r="I21" s="48"/>
      <c r="K21" s="51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</row>
    <row r="22" spans="1:27" ht="14.25" hidden="1" x14ac:dyDescent="0.15">
      <c r="A22" s="48"/>
      <c r="B22" s="48"/>
      <c r="C22" s="48"/>
      <c r="D22" s="48"/>
      <c r="E22" s="48"/>
      <c r="F22" s="48"/>
      <c r="G22" s="48"/>
      <c r="H22" s="48"/>
      <c r="I22" s="48"/>
      <c r="K22" s="51"/>
      <c r="L22" s="48"/>
      <c r="M22" s="48"/>
      <c r="N22" s="48"/>
      <c r="O22" s="48"/>
      <c r="P22" s="48"/>
      <c r="Q22" s="48"/>
      <c r="R22" s="48"/>
      <c r="S22" s="48"/>
      <c r="T22" s="48"/>
      <c r="U22" s="48"/>
      <c r="V22" s="48"/>
      <c r="W22" s="48"/>
    </row>
    <row r="23" spans="1:27" ht="14.25" hidden="1" x14ac:dyDescent="0.15">
      <c r="A23" s="48"/>
      <c r="B23" s="48"/>
      <c r="C23" s="48"/>
      <c r="D23" s="48"/>
      <c r="E23" s="48"/>
      <c r="F23" s="48"/>
      <c r="G23" s="48"/>
      <c r="H23" s="48"/>
      <c r="I23" s="48"/>
      <c r="K23" s="51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48"/>
    </row>
    <row r="24" spans="1:27" ht="14.25" hidden="1" x14ac:dyDescent="0.15">
      <c r="A24" s="48"/>
      <c r="B24" s="48"/>
      <c r="C24" s="48"/>
      <c r="D24" s="48"/>
      <c r="E24" s="48"/>
      <c r="F24" s="48"/>
      <c r="G24" s="48"/>
      <c r="H24" s="48"/>
      <c r="I24" s="48"/>
      <c r="K24" s="51"/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48"/>
    </row>
    <row r="25" spans="1:27" ht="14.25" hidden="1" x14ac:dyDescent="0.15">
      <c r="A25" s="48"/>
      <c r="B25" s="48"/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48"/>
      <c r="W25" s="48"/>
    </row>
    <row r="26" spans="1:27" ht="15" hidden="1" x14ac:dyDescent="0.15">
      <c r="A26" s="48">
        <v>1</v>
      </c>
      <c r="B26" s="53" t="s">
        <v>23</v>
      </c>
      <c r="C26" s="48" t="s">
        <v>24</v>
      </c>
      <c r="D26" s="48" t="s">
        <v>81</v>
      </c>
      <c r="E26" s="48" t="s">
        <v>68</v>
      </c>
      <c r="F26" s="48" t="s">
        <v>69</v>
      </c>
      <c r="G26" s="48" t="s">
        <v>25</v>
      </c>
      <c r="H26" s="48" t="s">
        <v>26</v>
      </c>
      <c r="I26" s="48" t="s">
        <v>27</v>
      </c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</row>
    <row r="27" spans="1:27" ht="15" hidden="1" x14ac:dyDescent="0.15">
      <c r="A27" s="48">
        <v>2</v>
      </c>
      <c r="B27" s="53" t="s">
        <v>28</v>
      </c>
      <c r="C27" s="48" t="s">
        <v>29</v>
      </c>
      <c r="D27" s="48" t="s">
        <v>82</v>
      </c>
      <c r="E27" s="48" t="s">
        <v>68</v>
      </c>
      <c r="F27" s="48" t="s">
        <v>69</v>
      </c>
      <c r="G27" s="48" t="s">
        <v>25</v>
      </c>
      <c r="H27" s="48" t="s">
        <v>0</v>
      </c>
      <c r="I27" s="48" t="s">
        <v>30</v>
      </c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</row>
    <row r="28" spans="1:27" ht="15" hidden="1" x14ac:dyDescent="0.15">
      <c r="A28" s="48">
        <v>3</v>
      </c>
      <c r="B28" s="48"/>
      <c r="C28" s="48" t="s">
        <v>27</v>
      </c>
      <c r="D28" s="48" t="s">
        <v>76</v>
      </c>
      <c r="E28" s="48" t="s">
        <v>75</v>
      </c>
      <c r="F28" s="48" t="s">
        <v>0</v>
      </c>
      <c r="G28" s="48" t="s">
        <v>31</v>
      </c>
      <c r="H28" s="48" t="s">
        <v>0</v>
      </c>
      <c r="I28" s="48" t="s">
        <v>32</v>
      </c>
      <c r="J28" s="53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</row>
    <row r="29" spans="1:27" ht="14.25" hidden="1" x14ac:dyDescent="0.15">
      <c r="A29" s="48"/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</row>
    <row r="30" spans="1:27" ht="14.25" hidden="1" x14ac:dyDescent="0.15">
      <c r="A30" s="47"/>
      <c r="B30" s="48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48"/>
    </row>
    <row r="31" spans="1:27" ht="14.25" hidden="1" x14ac:dyDescent="0.15">
      <c r="A31" s="48"/>
      <c r="B31" s="48"/>
      <c r="C31" s="48" t="s">
        <v>33</v>
      </c>
      <c r="D31" s="48"/>
      <c r="E31" s="48"/>
      <c r="F31" s="48"/>
      <c r="G31" s="48"/>
      <c r="H31" s="48" t="s">
        <v>34</v>
      </c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48"/>
    </row>
    <row r="32" spans="1:27" ht="14.25" hidden="1" x14ac:dyDescent="0.15">
      <c r="A32" s="48"/>
      <c r="B32" s="48"/>
      <c r="C32" s="96" t="str">
        <f t="shared" ref="C32:H32" si="4">C26</f>
        <v>If (mA)</v>
      </c>
      <c r="D32" s="96" t="str">
        <f t="shared" si="4"/>
        <v>Vf (V)</v>
      </c>
      <c r="E32" s="96" t="str">
        <f t="shared" si="4"/>
        <v>Vf_min (V)</v>
      </c>
      <c r="F32" s="96" t="str">
        <f t="shared" si="4"/>
        <v>Vf_max (V)</v>
      </c>
      <c r="G32" s="96" t="str">
        <f t="shared" si="4"/>
        <v>Pd (W)</v>
      </c>
      <c r="H32" s="96" t="str">
        <f t="shared" si="4"/>
        <v>lm/W</v>
      </c>
      <c r="I32" s="96" t="str">
        <f>Simulator!M9</f>
        <v>Tj (C)</v>
      </c>
      <c r="J32" s="95" t="str">
        <f t="shared" ref="J32:O32" si="5">C27</f>
        <v>φv (lm)</v>
      </c>
      <c r="K32" s="95" t="str">
        <f t="shared" si="5"/>
        <v>Vf (V)</v>
      </c>
      <c r="L32" s="95" t="str">
        <f t="shared" si="5"/>
        <v>Vf_min (V)</v>
      </c>
      <c r="M32" s="95" t="str">
        <f t="shared" si="5"/>
        <v>Vf_max (V)</v>
      </c>
      <c r="N32" s="95" t="str">
        <f t="shared" si="5"/>
        <v>Pd (W)</v>
      </c>
      <c r="O32" s="95" t="str">
        <f t="shared" si="5"/>
        <v>lm/W</v>
      </c>
      <c r="P32" s="95" t="str">
        <f>Simulator!M9</f>
        <v>Tj (C)</v>
      </c>
      <c r="Q32" s="48"/>
      <c r="R32" s="48"/>
      <c r="S32" s="48"/>
      <c r="T32" s="48"/>
      <c r="U32" s="48"/>
      <c r="V32" s="48"/>
      <c r="W32" s="48"/>
      <c r="X32" s="48"/>
      <c r="Y32" s="48"/>
      <c r="Z32" s="48"/>
      <c r="AA32" s="48"/>
    </row>
    <row r="33" spans="1:27" ht="14.25" hidden="1" x14ac:dyDescent="0.15">
      <c r="A33" s="48"/>
      <c r="B33" s="48"/>
      <c r="C33" s="96" t="str">
        <f t="shared" ref="C33:H33" si="6">CONCATENATE($A26,C26)</f>
        <v>1If (mA)</v>
      </c>
      <c r="D33" s="96" t="str">
        <f t="shared" si="6"/>
        <v>1Vf (V)</v>
      </c>
      <c r="E33" s="96" t="str">
        <f t="shared" si="6"/>
        <v>1Vf_min (V)</v>
      </c>
      <c r="F33" s="96" t="str">
        <f t="shared" si="6"/>
        <v>1Vf_max (V)</v>
      </c>
      <c r="G33" s="96" t="str">
        <f t="shared" si="6"/>
        <v>1Pd (W)</v>
      </c>
      <c r="H33" s="96" t="str">
        <f t="shared" si="6"/>
        <v>1lm/W</v>
      </c>
      <c r="I33" s="96" t="str">
        <f>CONCATENATE($A26,I32)</f>
        <v>1Tj (C)</v>
      </c>
      <c r="J33" s="95" t="str">
        <f t="shared" ref="J33:O33" si="7">CONCATENATE($A27,C27)</f>
        <v>2φv (lm)</v>
      </c>
      <c r="K33" s="95" t="str">
        <f t="shared" si="7"/>
        <v>2Vf (V)</v>
      </c>
      <c r="L33" s="95" t="str">
        <f t="shared" si="7"/>
        <v>2Vf_min (V)</v>
      </c>
      <c r="M33" s="95" t="str">
        <f t="shared" si="7"/>
        <v>2Vf_max (V)</v>
      </c>
      <c r="N33" s="95" t="str">
        <f t="shared" si="7"/>
        <v>2Pd (W)</v>
      </c>
      <c r="O33" s="95" t="str">
        <f t="shared" si="7"/>
        <v>2lm/W</v>
      </c>
      <c r="P33" s="95" t="str">
        <f>CONCATENATE($A27,P32)</f>
        <v>2Tj (C)</v>
      </c>
      <c r="Q33" s="48"/>
      <c r="R33" s="48"/>
      <c r="S33" s="48"/>
      <c r="T33" s="48"/>
      <c r="U33" s="48"/>
      <c r="V33" s="48"/>
      <c r="W33" s="48"/>
      <c r="X33" s="48"/>
      <c r="Y33" s="48"/>
      <c r="Z33" s="48"/>
      <c r="AA33" s="48"/>
    </row>
    <row r="34" spans="1:27" ht="14.25" hidden="1" x14ac:dyDescent="0.15">
      <c r="A34" s="48"/>
      <c r="B34" s="48" t="str">
        <f t="shared" ref="B34:B46" si="8">B2</f>
        <v>CLU701-0303C4</v>
      </c>
      <c r="C34" s="93">
        <f>IF(Calculation!U108,Calculation!N83,"Not Applicable")</f>
        <v>335.77824846998828</v>
      </c>
      <c r="D34" s="94">
        <f>IF(Calculation!U108,Calculation!R83,"Not Applicable")</f>
        <v>8.9296753960787374</v>
      </c>
      <c r="E34" s="94">
        <f>IF(Calculation!U108,Calculation!P83,"Not Applicable")</f>
        <v>8.4643681446787262</v>
      </c>
      <c r="F34" s="94">
        <f>IF(Calculation!U108,Calculation!Q83,"Not Applicable")</f>
        <v>9.9364321698402449</v>
      </c>
      <c r="G34" s="94">
        <f>IF(Calculation!U108,Calculation!S83,"Not Applicable")</f>
        <v>2.9983907639008671</v>
      </c>
      <c r="H34" s="94">
        <f>IF(Calculation!U108,Calculation!U83,"Not Applicable")</f>
        <v>116.72928165795661</v>
      </c>
      <c r="I34" s="94">
        <f>IF(Calculation!W108,Calculation!X83,"Not Applicable")</f>
        <v>77.947703767015767</v>
      </c>
      <c r="J34" s="93">
        <f>IF(Calculation!Y165,Calculation!N140,"Not Applicable")</f>
        <v>363.35817518992326</v>
      </c>
      <c r="K34" s="94">
        <f>IF(Calculation!Y165,Calculation!R140,"Not Applicable")</f>
        <v>8.9692318935137614</v>
      </c>
      <c r="L34" s="94">
        <f>IF(Calculation!Y165,Calculation!P140,"Not Applicable")</f>
        <v>8.2516933420326612</v>
      </c>
      <c r="M34" s="94">
        <f>IF(Calculation!Y165,Calculation!Q140,"Not Applicable")</f>
        <v>9.6867704449948633</v>
      </c>
      <c r="N34" s="94">
        <f>IF(Calculation!Y165,Calculation!S140,"Not Applicable")</f>
        <v>3.1392311627298164</v>
      </c>
      <c r="O34" s="94">
        <f>IF(Calculation!Y165,Calculation!U140,"Not Applicable")</f>
        <v>115.74750515471878</v>
      </c>
      <c r="P34" s="94">
        <f>IF(Calculation!Y165,Calculation!X140,"Not Applicable")</f>
        <v>78.440645162917093</v>
      </c>
      <c r="Q34" s="48"/>
      <c r="R34" s="48"/>
      <c r="S34" s="48"/>
      <c r="T34" s="48"/>
      <c r="U34" s="48"/>
      <c r="V34" s="48"/>
      <c r="W34" s="48"/>
      <c r="X34" s="48"/>
      <c r="Y34" s="48"/>
      <c r="Z34" s="48"/>
      <c r="AA34" s="48"/>
    </row>
    <row r="35" spans="1:27" ht="14.25" hidden="1" x14ac:dyDescent="0.15">
      <c r="A35" s="48"/>
      <c r="B35" s="48" t="str">
        <f t="shared" si="8"/>
        <v>CLU701-0304C4</v>
      </c>
      <c r="C35" s="93" t="str">
        <f>IF(Calculation!U109,Calculation!N84,"Not Applicable")</f>
        <v>Not Applicable</v>
      </c>
      <c r="D35" s="94" t="str">
        <f>IF(Calculation!U109,Calculation!R84,"Not Applicable")</f>
        <v>Not Applicable</v>
      </c>
      <c r="E35" s="94" t="str">
        <f>IF(Calculation!U109,Calculation!P84,"Not Applicable")</f>
        <v>Not Applicable</v>
      </c>
      <c r="F35" s="94" t="str">
        <f>IF(Calculation!U109,Calculation!Q84,"Not Applicable")</f>
        <v>Not Applicable</v>
      </c>
      <c r="G35" s="94" t="str">
        <f>IF(Calculation!U109,Calculation!S84,"Not Applicable")</f>
        <v>Not Applicable</v>
      </c>
      <c r="H35" s="94" t="str">
        <f>IF(Calculation!U109,Calculation!U84,"Not Applicable")</f>
        <v>Not Applicable</v>
      </c>
      <c r="I35" s="94" t="str">
        <f>IF(Calculation!W109,Calculation!X84,"Not Applicable")</f>
        <v>Not Applicable</v>
      </c>
      <c r="J35" s="93" t="str">
        <f>IF(Calculation!Y166,Calculation!N141,"Not Applicable")</f>
        <v>Not Applicable</v>
      </c>
      <c r="K35" s="94" t="str">
        <f>IF(Calculation!Y166,Calculation!R141,"Not Applicable")</f>
        <v>Not Applicable</v>
      </c>
      <c r="L35" s="94" t="str">
        <f>IF(Calculation!Y166,Calculation!P141,"Not Applicable")</f>
        <v>Not Applicable</v>
      </c>
      <c r="M35" s="94" t="str">
        <f>IF(Calculation!Y166,Calculation!Q141,"Not Applicable")</f>
        <v>Not Applicable</v>
      </c>
      <c r="N35" s="94" t="str">
        <f>IF(Calculation!Y166,Calculation!S141,"Not Applicable")</f>
        <v>Not Applicable</v>
      </c>
      <c r="O35" s="94" t="str">
        <f>IF(Calculation!Y166,Calculation!U141,"Not Applicable")</f>
        <v>Not Applicable</v>
      </c>
      <c r="P35" s="94" t="str">
        <f>IF(Calculation!Y166,Calculation!X141,"Not Applicable")</f>
        <v>Not Applicable</v>
      </c>
      <c r="Q35" s="48"/>
      <c r="R35" s="48"/>
      <c r="S35" s="48"/>
      <c r="T35" s="48"/>
      <c r="U35" s="48"/>
      <c r="V35" s="48"/>
      <c r="W35" s="48"/>
      <c r="X35" s="48"/>
      <c r="Y35" s="48"/>
      <c r="Z35" s="48"/>
      <c r="AA35" s="48"/>
    </row>
    <row r="36" spans="1:27" ht="14.25" hidden="1" x14ac:dyDescent="0.15">
      <c r="A36" s="48"/>
      <c r="B36" s="48" t="str">
        <f t="shared" si="8"/>
        <v>CLU701-1002C4</v>
      </c>
      <c r="C36" s="93">
        <f>IF(Calculation!U110,Calculation!N85,"Not Applicable")</f>
        <v>101.24777866611188</v>
      </c>
      <c r="D36" s="94">
        <f>IF(Calculation!U110,Calculation!R85,"Not Applicable")</f>
        <v>27.856273537214729</v>
      </c>
      <c r="E36" s="94">
        <f>IF(Calculation!U110,Calculation!P85,"Not Applicable")</f>
        <v>26.404739690918362</v>
      </c>
      <c r="F36" s="94">
        <f>IF(Calculation!U110,Calculation!Q85,"Not Applicable")</f>
        <v>30.996868332817211</v>
      </c>
      <c r="G36" s="94">
        <f>IF(Calculation!U110,Calculation!S85,"Not Applicable")</f>
        <v>2.8203858175585865</v>
      </c>
      <c r="H36" s="94">
        <f>IF(Calculation!U110,Calculation!U85,"Not Applicable")</f>
        <v>124.0964969477016</v>
      </c>
      <c r="I36" s="94">
        <f>IF(Calculation!W110,Calculation!X85,"Not Applicable")</f>
        <v>71.965953401456474</v>
      </c>
      <c r="J36" s="93">
        <f>IF(Calculation!Y167,Calculation!N142,"Not Applicable")</f>
        <v>1073.9999978135004</v>
      </c>
      <c r="K36" s="94">
        <f>IF(Calculation!Y167,Calculation!R142,"Not Applicable")</f>
        <v>31.333329983360716</v>
      </c>
      <c r="L36" s="94">
        <f>IF(Calculation!Y167,Calculation!P142,"Not Applicable")</f>
        <v>28.826663584691861</v>
      </c>
      <c r="M36" s="94">
        <f>IF(Calculation!Y167,Calculation!Q142,"Not Applicable")</f>
        <v>33.839996382029575</v>
      </c>
      <c r="N36" s="94">
        <f>IF(Calculation!Y167,Calculation!S142,"Not Applicable")</f>
        <v>10.966665494176249</v>
      </c>
      <c r="O36" s="94">
        <f>IF(Calculation!Y167,Calculation!U142,"Not Applicable")</f>
        <v>97.93314097013706</v>
      </c>
      <c r="P36" s="94">
        <f>IF(Calculation!Y167,Calculation!X142,"Not Applicable")</f>
        <v>85.000000884044738</v>
      </c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48"/>
    </row>
    <row r="37" spans="1:27" ht="14.25" hidden="1" x14ac:dyDescent="0.15">
      <c r="A37" s="48"/>
      <c r="B37" s="48" t="str">
        <f t="shared" si="8"/>
        <v>CLU711-1204C4</v>
      </c>
      <c r="C37" s="93">
        <f>IF(Calculation!U111,Calculation!N86,"Not Applicable")</f>
        <v>82.017283860019603</v>
      </c>
      <c r="D37" s="94">
        <f>IF(Calculation!U111,Calculation!R86,"Not Applicable")</f>
        <v>32.016102278053538</v>
      </c>
      <c r="E37" s="94">
        <f>IF(Calculation!U111,Calculation!P86,"Not Applicable")</f>
        <v>30.347808203435275</v>
      </c>
      <c r="F37" s="94">
        <f>IF(Calculation!U111,Calculation!Q86,"Not Applicable")</f>
        <v>35.625687890989234</v>
      </c>
      <c r="G37" s="94">
        <f>IF(Calculation!U111,Calculation!S86,"Not Applicable")</f>
        <v>2.625873748630537</v>
      </c>
      <c r="H37" s="94">
        <f>IF(Calculation!U111,Calculation!U86,"Not Applicable")</f>
        <v>133.28896721806763</v>
      </c>
      <c r="I37" s="94">
        <f>IF(Calculation!W111,Calculation!X86,"Not Applicable")</f>
        <v>69.842881204616532</v>
      </c>
      <c r="J37" s="93">
        <f>IF(Calculation!Y168,Calculation!N143,"Not Applicable")</f>
        <v>1391.3602310900073</v>
      </c>
      <c r="K37" s="94">
        <f>IF(Calculation!Y168,Calculation!R143,"Not Applicable")</f>
        <v>34.719394338546053</v>
      </c>
      <c r="L37" s="94">
        <f>IF(Calculation!Y168,Calculation!P143,"Not Applicable")</f>
        <v>31.941842791462371</v>
      </c>
      <c r="M37" s="94">
        <f>IF(Calculation!Y168,Calculation!Q143,"Not Applicable")</f>
        <v>37.496945885629742</v>
      </c>
      <c r="N37" s="94">
        <f>IF(Calculation!Y168,Calculation!S143,"Not Applicable")</f>
        <v>12.15178801849112</v>
      </c>
      <c r="O37" s="94">
        <f>IF(Calculation!Y168,Calculation!U143,"Not Applicable")</f>
        <v>114.49839554251636</v>
      </c>
      <c r="P37" s="94">
        <f>IF(Calculation!Y168,Calculation!X143,"Not Applicable")</f>
        <v>78.511463190189659</v>
      </c>
      <c r="Q37" s="48"/>
      <c r="R37" s="48"/>
      <c r="S37" s="48"/>
      <c r="T37" s="48"/>
      <c r="U37" s="48"/>
      <c r="V37" s="48"/>
      <c r="W37" s="48"/>
      <c r="X37" s="48"/>
      <c r="Y37" s="48"/>
      <c r="Z37" s="48"/>
      <c r="AA37" s="48"/>
    </row>
    <row r="38" spans="1:27" ht="14.25" hidden="1" x14ac:dyDescent="0.15">
      <c r="A38" s="48"/>
      <c r="B38" s="48" t="str">
        <f t="shared" si="8"/>
        <v>CLU721-1206C4</v>
      </c>
      <c r="C38" s="93">
        <f>IF(Calculation!U112,Calculation!N87,"Not Applicable")</f>
        <v>82.414276354679174</v>
      </c>
      <c r="D38" s="94">
        <f>IF(Calculation!U112,Calculation!R87,"Not Applicable")</f>
        <v>31.718789941691156</v>
      </c>
      <c r="E38" s="94">
        <f>IF(Calculation!U112,Calculation!P87,"Not Applicable")</f>
        <v>30.065988209168644</v>
      </c>
      <c r="F38" s="94">
        <f>IF(Calculation!U112,Calculation!Q87,"Not Applicable")</f>
        <v>35.29485572380667</v>
      </c>
      <c r="G38" s="94">
        <f>IF(Calculation!U112,Calculation!S87,"Not Applicable")</f>
        <v>2.6140811198905531</v>
      </c>
      <c r="H38" s="94">
        <f>IF(Calculation!U112,Calculation!U87,"Not Applicable")</f>
        <v>133.89025969272669</v>
      </c>
      <c r="I38" s="94">
        <f>IF(Calculation!W112,Calculation!X87,"Not Applicable")</f>
        <v>69.02178476529707</v>
      </c>
      <c r="J38" s="93">
        <f>IF(Calculation!Y169,Calculation!N144,"Not Applicable")</f>
        <v>1418.1823665014429</v>
      </c>
      <c r="K38" s="94">
        <f>IF(Calculation!Y169,Calculation!R144,"Not Applicable")</f>
        <v>33.613108999940344</v>
      </c>
      <c r="L38" s="94">
        <f>IF(Calculation!Y169,Calculation!P144,"Not Applicable")</f>
        <v>30.924060279945117</v>
      </c>
      <c r="M38" s="94">
        <f>IF(Calculation!Y169,Calculation!Q144,"Not Applicable")</f>
        <v>36.302157719935572</v>
      </c>
      <c r="N38" s="94">
        <f>IF(Calculation!Y169,Calculation!S144,"Not Applicable")</f>
        <v>11.764588149979121</v>
      </c>
      <c r="O38" s="94">
        <f>IF(Calculation!Y169,Calculation!U144,"Not Applicable")</f>
        <v>120.54670749387515</v>
      </c>
      <c r="P38" s="94">
        <f>IF(Calculation!Y169,Calculation!X144,"Not Applicable")</f>
        <v>74.51208898335021</v>
      </c>
      <c r="Q38" s="48"/>
      <c r="R38" s="48"/>
      <c r="S38" s="48"/>
      <c r="T38" s="48"/>
      <c r="U38" s="48"/>
      <c r="V38" s="48"/>
      <c r="W38" s="48"/>
      <c r="X38" s="48"/>
      <c r="Y38" s="48"/>
      <c r="Z38" s="48"/>
      <c r="AA38" s="48"/>
    </row>
    <row r="39" spans="1:27" ht="14.25" hidden="1" x14ac:dyDescent="0.15">
      <c r="A39" s="48"/>
      <c r="B39" s="48" t="str">
        <f t="shared" si="8"/>
        <v>CLU731-1210C4</v>
      </c>
      <c r="C39" s="93">
        <f>IF(Calculation!U113,Calculation!N88,"Not Applicable")</f>
        <v>83.076023824833925</v>
      </c>
      <c r="D39" s="94">
        <f>IF(Calculation!U113,Calculation!R88,"Not Applicable")</f>
        <v>31.393166273029816</v>
      </c>
      <c r="E39" s="94">
        <f>IF(Calculation!U113,Calculation!P88,"Not Applicable")</f>
        <v>29.757332128637344</v>
      </c>
      <c r="F39" s="94">
        <f>IF(Calculation!U113,Calculation!Q88,"Not Applicable")</f>
        <v>34.932520324922102</v>
      </c>
      <c r="G39" s="94">
        <f>IF(Calculation!U113,Calculation!S88,"Not Applicable")</f>
        <v>2.6080194292351981</v>
      </c>
      <c r="H39" s="94">
        <f>IF(Calculation!U113,Calculation!U88,"Not Applicable")</f>
        <v>134.20145420566806</v>
      </c>
      <c r="I39" s="94">
        <f>IF(Calculation!W113,Calculation!X88,"Not Applicable")</f>
        <v>68.548704253641517</v>
      </c>
      <c r="J39" s="93">
        <f>IF(Calculation!Y170,Calculation!N145,"Not Applicable")</f>
        <v>1442.2047664934448</v>
      </c>
      <c r="K39" s="94">
        <f>IF(Calculation!Y170,Calculation!R145,"Not Applicable")</f>
        <v>32.569252637742885</v>
      </c>
      <c r="L39" s="94">
        <f>IF(Calculation!Y170,Calculation!P145,"Not Applicable")</f>
        <v>29.963712426723454</v>
      </c>
      <c r="M39" s="94">
        <f>IF(Calculation!Y170,Calculation!Q145,"Not Applicable")</f>
        <v>35.174792848762316</v>
      </c>
      <c r="N39" s="94">
        <f>IF(Calculation!Y170,Calculation!S145,"Not Applicable")</f>
        <v>11.39923842321001</v>
      </c>
      <c r="O39" s="94">
        <f>IF(Calculation!Y170,Calculation!U145,"Not Applicable")</f>
        <v>126.51764205203122</v>
      </c>
      <c r="P39" s="94">
        <f>IF(Calculation!Y170,Calculation!X145,"Not Applicable")</f>
        <v>72.241016231110933</v>
      </c>
      <c r="Q39" s="48"/>
      <c r="R39" s="48"/>
      <c r="S39" s="48"/>
      <c r="T39" s="48"/>
      <c r="U39" s="48"/>
      <c r="V39" s="48"/>
      <c r="W39" s="48"/>
      <c r="X39" s="48"/>
      <c r="Y39" s="48"/>
      <c r="Z39" s="48"/>
      <c r="AA39" s="48"/>
    </row>
    <row r="40" spans="1:27" ht="14.25" hidden="1" x14ac:dyDescent="0.15">
      <c r="A40" s="48"/>
      <c r="B40" s="48">
        <f t="shared" si="8"/>
        <v>0</v>
      </c>
      <c r="C40" s="93" t="e">
        <f>IF(Calculation!U114,Calculation!N89,"Not Applicable")</f>
        <v>#DIV/0!</v>
      </c>
      <c r="D40" s="94" t="e">
        <f>IF(Calculation!U114,Calculation!R89,"Not Applicable")</f>
        <v>#DIV/0!</v>
      </c>
      <c r="E40" s="94" t="e">
        <f>IF(Calculation!U114,Calculation!P89,"Not Applicable")</f>
        <v>#DIV/0!</v>
      </c>
      <c r="F40" s="94" t="e">
        <f>IF(Calculation!U114,Calculation!Q89,"Not Applicable")</f>
        <v>#DIV/0!</v>
      </c>
      <c r="G40" s="94" t="e">
        <f>IF(Calculation!U114,Calculation!S89,"Not Applicable")</f>
        <v>#DIV/0!</v>
      </c>
      <c r="H40" s="94" t="e">
        <f>IF(Calculation!U114,Calculation!U89,"Not Applicable")</f>
        <v>#DIV/0!</v>
      </c>
      <c r="I40" s="94" t="e">
        <f>IF(Calculation!W114,Calculation!X89,"Not Applicable")</f>
        <v>#DIV/0!</v>
      </c>
      <c r="J40" s="93" t="e">
        <f>IF(Calculation!Y171,Calculation!N146,"Not Applicable")</f>
        <v>#DIV/0!</v>
      </c>
      <c r="K40" s="94" t="e">
        <f>IF(Calculation!Y171,Calculation!R146,"Not Applicable")</f>
        <v>#DIV/0!</v>
      </c>
      <c r="L40" s="94" t="e">
        <f>IF(Calculation!Y171,Calculation!P146,"Not Applicable")</f>
        <v>#DIV/0!</v>
      </c>
      <c r="M40" s="94" t="e">
        <f>IF(Calculation!Y171,Calculation!Q146,"Not Applicable")</f>
        <v>#DIV/0!</v>
      </c>
      <c r="N40" s="94" t="e">
        <f>IF(Calculation!Y171,Calculation!S146,"Not Applicable")</f>
        <v>#DIV/0!</v>
      </c>
      <c r="O40" s="94" t="e">
        <f>IF(Calculation!Y171,Calculation!U146,"Not Applicable")</f>
        <v>#DIV/0!</v>
      </c>
      <c r="P40" s="94" t="e">
        <f>IF(Calculation!Y171,Calculation!X146,"Not Applicable")</f>
        <v>#DIV/0!</v>
      </c>
      <c r="Q40" s="48"/>
      <c r="R40" s="48"/>
      <c r="S40" s="48"/>
      <c r="T40" s="48"/>
      <c r="U40" s="48"/>
      <c r="V40" s="48"/>
      <c r="W40" s="48"/>
      <c r="X40" s="48"/>
      <c r="Y40" s="48"/>
      <c r="Z40" s="48"/>
      <c r="AA40" s="48"/>
    </row>
    <row r="41" spans="1:27" ht="14.25" hidden="1" x14ac:dyDescent="0.15">
      <c r="A41" s="48"/>
      <c r="B41" s="48">
        <f t="shared" si="8"/>
        <v>0</v>
      </c>
      <c r="C41" s="93" t="e">
        <f>IF(Calculation!U115,Calculation!N90,"Not Applicable")</f>
        <v>#DIV/0!</v>
      </c>
      <c r="D41" s="94" t="e">
        <f>IF(Calculation!U115,Calculation!R90,"Not Applicable")</f>
        <v>#DIV/0!</v>
      </c>
      <c r="E41" s="94" t="e">
        <f>IF(Calculation!U115,Calculation!P90,"Not Applicable")</f>
        <v>#DIV/0!</v>
      </c>
      <c r="F41" s="94" t="e">
        <f>IF(Calculation!U115,Calculation!Q90,"Not Applicable")</f>
        <v>#DIV/0!</v>
      </c>
      <c r="G41" s="94" t="e">
        <f>IF(Calculation!U115,Calculation!S90,"Not Applicable")</f>
        <v>#DIV/0!</v>
      </c>
      <c r="H41" s="94" t="e">
        <f>IF(Calculation!U115,Calculation!U90,"Not Applicable")</f>
        <v>#DIV/0!</v>
      </c>
      <c r="I41" s="94" t="e">
        <f>IF(Calculation!W115,Calculation!X90,"Not Applicable")</f>
        <v>#DIV/0!</v>
      </c>
      <c r="J41" s="93" t="e">
        <f>IF(Calculation!Y172,Calculation!N147,"Not Applicable")</f>
        <v>#DIV/0!</v>
      </c>
      <c r="K41" s="94" t="e">
        <f>IF(Calculation!Y172,Calculation!R147,"Not Applicable")</f>
        <v>#DIV/0!</v>
      </c>
      <c r="L41" s="94" t="e">
        <f>IF(Calculation!Y172,Calculation!P147,"Not Applicable")</f>
        <v>#DIV/0!</v>
      </c>
      <c r="M41" s="94" t="e">
        <f>IF(Calculation!Y172,Calculation!Q147,"Not Applicable")</f>
        <v>#DIV/0!</v>
      </c>
      <c r="N41" s="94" t="e">
        <f>IF(Calculation!Y172,Calculation!S147,"Not Applicable")</f>
        <v>#DIV/0!</v>
      </c>
      <c r="O41" s="94" t="e">
        <f>IF(Calculation!Y172,Calculation!U147,"Not Applicable")</f>
        <v>#DIV/0!</v>
      </c>
      <c r="P41" s="94" t="e">
        <f>IF(Calculation!Y172,Calculation!X147,"Not Applicable")</f>
        <v>#DIV/0!</v>
      </c>
      <c r="Q41" s="48"/>
      <c r="R41" s="48"/>
      <c r="S41" s="48"/>
      <c r="T41" s="48"/>
      <c r="U41" s="48"/>
      <c r="V41" s="48"/>
      <c r="W41" s="48"/>
      <c r="X41" s="48"/>
      <c r="Y41" s="48"/>
      <c r="Z41" s="48"/>
      <c r="AA41" s="48"/>
    </row>
    <row r="42" spans="1:27" ht="14.25" hidden="1" x14ac:dyDescent="0.15">
      <c r="A42" s="48"/>
      <c r="B42" s="48">
        <f t="shared" si="8"/>
        <v>0</v>
      </c>
      <c r="C42" s="93" t="e">
        <f>IF(Calculation!U116,Calculation!N91,"Not Applicable")</f>
        <v>#DIV/0!</v>
      </c>
      <c r="D42" s="94" t="e">
        <f>IF(Calculation!U116,Calculation!R91,"Not Applicable")</f>
        <v>#DIV/0!</v>
      </c>
      <c r="E42" s="94" t="e">
        <f>IF(Calculation!U116,Calculation!P91,"Not Applicable")</f>
        <v>#DIV/0!</v>
      </c>
      <c r="F42" s="94" t="e">
        <f>IF(Calculation!U116,Calculation!Q91,"Not Applicable")</f>
        <v>#DIV/0!</v>
      </c>
      <c r="G42" s="94" t="e">
        <f>IF(Calculation!U116,Calculation!S91,"Not Applicable")</f>
        <v>#DIV/0!</v>
      </c>
      <c r="H42" s="94" t="e">
        <f>IF(Calculation!U116,Calculation!U91,"Not Applicable")</f>
        <v>#DIV/0!</v>
      </c>
      <c r="I42" s="94" t="e">
        <f>IF(Calculation!W116,Calculation!X91,"Not Applicable")</f>
        <v>#DIV/0!</v>
      </c>
      <c r="J42" s="93" t="e">
        <f>IF(Calculation!Y173,Calculation!N148,"Not Applicable")</f>
        <v>#DIV/0!</v>
      </c>
      <c r="K42" s="94" t="e">
        <f>IF(Calculation!Y173,Calculation!R148,"Not Applicable")</f>
        <v>#DIV/0!</v>
      </c>
      <c r="L42" s="94" t="e">
        <f>IF(Calculation!Y173,Calculation!P148,"Not Applicable")</f>
        <v>#DIV/0!</v>
      </c>
      <c r="M42" s="94" t="e">
        <f>IF(Calculation!Y173,Calculation!Q148,"Not Applicable")</f>
        <v>#DIV/0!</v>
      </c>
      <c r="N42" s="94" t="e">
        <f>IF(Calculation!Y173,Calculation!S148,"Not Applicable")</f>
        <v>#DIV/0!</v>
      </c>
      <c r="O42" s="94" t="e">
        <f>IF(Calculation!Y173,Calculation!U148,"Not Applicable")</f>
        <v>#DIV/0!</v>
      </c>
      <c r="P42" s="94" t="e">
        <f>IF(Calculation!Y173,Calculation!X148,"Not Applicable")</f>
        <v>#DIV/0!</v>
      </c>
      <c r="Q42" s="48"/>
      <c r="R42" s="48"/>
      <c r="S42" s="48"/>
      <c r="T42" s="48"/>
      <c r="U42" s="48"/>
      <c r="V42" s="48"/>
      <c r="W42" s="48"/>
      <c r="X42" s="48"/>
      <c r="Y42" s="48"/>
      <c r="Z42" s="48"/>
      <c r="AA42" s="48"/>
    </row>
    <row r="43" spans="1:27" ht="14.25" hidden="1" x14ac:dyDescent="0.15">
      <c r="A43" s="48"/>
      <c r="B43" s="48">
        <f t="shared" si="8"/>
        <v>0</v>
      </c>
      <c r="C43" s="93" t="e">
        <f>IF(Calculation!U117,Calculation!N92,"Not Applicable")</f>
        <v>#DIV/0!</v>
      </c>
      <c r="D43" s="94" t="e">
        <f>IF(Calculation!U117,Calculation!R92,"Not Applicable")</f>
        <v>#DIV/0!</v>
      </c>
      <c r="E43" s="94" t="e">
        <f>IF(Calculation!U117,Calculation!P92,"Not Applicable")</f>
        <v>#DIV/0!</v>
      </c>
      <c r="F43" s="94" t="e">
        <f>IF(Calculation!U117,Calculation!Q92,"Not Applicable")</f>
        <v>#DIV/0!</v>
      </c>
      <c r="G43" s="94" t="e">
        <f>IF(Calculation!U117,Calculation!S92,"Not Applicable")</f>
        <v>#DIV/0!</v>
      </c>
      <c r="H43" s="94" t="e">
        <f>IF(Calculation!U117,Calculation!U92,"Not Applicable")</f>
        <v>#DIV/0!</v>
      </c>
      <c r="I43" s="94" t="e">
        <f>IF(Calculation!W117,Calculation!X92,"Not Applicable")</f>
        <v>#DIV/0!</v>
      </c>
      <c r="J43" s="93" t="e">
        <f>IF(Calculation!Y174,Calculation!N149,"Not Applicable")</f>
        <v>#DIV/0!</v>
      </c>
      <c r="K43" s="94" t="e">
        <f>IF(Calculation!Y174,Calculation!R149,"Not Applicable")</f>
        <v>#DIV/0!</v>
      </c>
      <c r="L43" s="94" t="e">
        <f>IF(Calculation!Y174,Calculation!P149,"Not Applicable")</f>
        <v>#DIV/0!</v>
      </c>
      <c r="M43" s="94" t="e">
        <f>IF(Calculation!Y174,Calculation!Q149,"Not Applicable")</f>
        <v>#DIV/0!</v>
      </c>
      <c r="N43" s="94" t="e">
        <f>IF(Calculation!Y174,Calculation!S149,"Not Applicable")</f>
        <v>#DIV/0!</v>
      </c>
      <c r="O43" s="94" t="e">
        <f>IF(Calculation!Y174,Calculation!U149,"Not Applicable")</f>
        <v>#DIV/0!</v>
      </c>
      <c r="P43" s="94" t="e">
        <f>IF(Calculation!Y174,Calculation!X149,"Not Applicable")</f>
        <v>#DIV/0!</v>
      </c>
      <c r="Q43" s="48"/>
      <c r="R43" s="48"/>
      <c r="S43" s="48"/>
      <c r="T43" s="48"/>
      <c r="U43" s="48"/>
      <c r="V43" s="48"/>
      <c r="W43" s="48"/>
      <c r="X43" s="48"/>
      <c r="Y43" s="48"/>
      <c r="Z43" s="48"/>
      <c r="AA43" s="48"/>
    </row>
    <row r="44" spans="1:27" ht="14.25" hidden="1" x14ac:dyDescent="0.15">
      <c r="A44" s="48"/>
      <c r="B44" s="48">
        <f t="shared" si="8"/>
        <v>0</v>
      </c>
      <c r="C44" s="93" t="e">
        <f>IF(Calculation!U118,Calculation!N93,"Not Applicable")</f>
        <v>#DIV/0!</v>
      </c>
      <c r="D44" s="94" t="e">
        <f>IF(Calculation!U118,Calculation!R93,"Not Applicable")</f>
        <v>#DIV/0!</v>
      </c>
      <c r="E44" s="94" t="e">
        <f>IF(Calculation!U118,Calculation!P93,"Not Applicable")</f>
        <v>#DIV/0!</v>
      </c>
      <c r="F44" s="94" t="e">
        <f>IF(Calculation!U118,Calculation!Q93,"Not Applicable")</f>
        <v>#DIV/0!</v>
      </c>
      <c r="G44" s="94" t="e">
        <f>IF(Calculation!U118,Calculation!S93,"Not Applicable")</f>
        <v>#DIV/0!</v>
      </c>
      <c r="H44" s="94" t="e">
        <f>IF(Calculation!U118,Calculation!U93,"Not Applicable")</f>
        <v>#DIV/0!</v>
      </c>
      <c r="I44" s="94" t="e">
        <f>IF(Calculation!W118,Calculation!X93,"Not Applicable")</f>
        <v>#DIV/0!</v>
      </c>
      <c r="J44" s="93" t="e">
        <f>IF(Calculation!Y175,Calculation!N150,"Not Applicable")</f>
        <v>#DIV/0!</v>
      </c>
      <c r="K44" s="94" t="e">
        <f>IF(Calculation!Y175,Calculation!R150,"Not Applicable")</f>
        <v>#DIV/0!</v>
      </c>
      <c r="L44" s="94" t="e">
        <f>IF(Calculation!Y175,Calculation!P150,"Not Applicable")</f>
        <v>#DIV/0!</v>
      </c>
      <c r="M44" s="94" t="e">
        <f>IF(Calculation!Y175,Calculation!Q150,"Not Applicable")</f>
        <v>#DIV/0!</v>
      </c>
      <c r="N44" s="94" t="e">
        <f>IF(Calculation!Y175,Calculation!S150,"Not Applicable")</f>
        <v>#DIV/0!</v>
      </c>
      <c r="O44" s="94" t="e">
        <f>IF(Calculation!Y175,Calculation!U150,"Not Applicable")</f>
        <v>#DIV/0!</v>
      </c>
      <c r="P44" s="94" t="e">
        <f>IF(Calculation!Y175,Calculation!X150,"Not Applicable")</f>
        <v>#DIV/0!</v>
      </c>
      <c r="Q44" s="48"/>
      <c r="R44" s="48"/>
      <c r="S44" s="48"/>
      <c r="T44" s="48"/>
      <c r="U44" s="48"/>
      <c r="V44" s="48"/>
      <c r="W44" s="48"/>
      <c r="X44" s="48"/>
      <c r="Y44" s="48"/>
      <c r="Z44" s="48"/>
      <c r="AA44" s="48"/>
    </row>
    <row r="45" spans="1:27" ht="14.25" hidden="1" x14ac:dyDescent="0.15">
      <c r="A45" s="48"/>
      <c r="B45" s="48">
        <f t="shared" si="8"/>
        <v>0</v>
      </c>
      <c r="C45" s="93" t="e">
        <f>IF(Calculation!U119,Calculation!N94,"Not Applicable")</f>
        <v>#DIV/0!</v>
      </c>
      <c r="D45" s="94" t="e">
        <f>IF(Calculation!U119,Calculation!R94,"Not Applicable")</f>
        <v>#DIV/0!</v>
      </c>
      <c r="E45" s="94" t="e">
        <f>IF(Calculation!U119,Calculation!P94,"Not Applicable")</f>
        <v>#DIV/0!</v>
      </c>
      <c r="F45" s="94" t="e">
        <f>IF(Calculation!U119,Calculation!Q94,"Not Applicable")</f>
        <v>#DIV/0!</v>
      </c>
      <c r="G45" s="94" t="e">
        <f>IF(Calculation!U119,Calculation!S94,"Not Applicable")</f>
        <v>#DIV/0!</v>
      </c>
      <c r="H45" s="94" t="e">
        <f>IF(Calculation!U119,Calculation!U94,"Not Applicable")</f>
        <v>#DIV/0!</v>
      </c>
      <c r="I45" s="94" t="e">
        <f>IF(Calculation!W119,Calculation!X94,"Not Applicable")</f>
        <v>#DIV/0!</v>
      </c>
      <c r="J45" s="93" t="e">
        <f>IF(Calculation!Y176,Calculation!N151,"Not Applicable")</f>
        <v>#DIV/0!</v>
      </c>
      <c r="K45" s="94" t="e">
        <f>IF(Calculation!Y176,Calculation!R151,"Not Applicable")</f>
        <v>#DIV/0!</v>
      </c>
      <c r="L45" s="94" t="e">
        <f>IF(Calculation!Y176,Calculation!P151,"Not Applicable")</f>
        <v>#DIV/0!</v>
      </c>
      <c r="M45" s="94" t="e">
        <f>IF(Calculation!Y176,Calculation!Q151,"Not Applicable")</f>
        <v>#DIV/0!</v>
      </c>
      <c r="N45" s="94" t="e">
        <f>IF(Calculation!Y176,Calculation!S151,"Not Applicable")</f>
        <v>#DIV/0!</v>
      </c>
      <c r="O45" s="94" t="e">
        <f>IF(Calculation!Y176,Calculation!U151,"Not Applicable")</f>
        <v>#DIV/0!</v>
      </c>
      <c r="P45" s="94" t="e">
        <f>IF(Calculation!Y176,Calculation!X151,"Not Applicable")</f>
        <v>#DIV/0!</v>
      </c>
      <c r="Q45" s="48"/>
      <c r="R45" s="48"/>
      <c r="S45" s="48"/>
      <c r="T45" s="48"/>
      <c r="U45" s="48"/>
      <c r="V45" s="48"/>
      <c r="W45" s="48"/>
      <c r="X45" s="48"/>
      <c r="Y45" s="48"/>
      <c r="Z45" s="48"/>
      <c r="AA45" s="48"/>
    </row>
    <row r="46" spans="1:27" ht="14.25" hidden="1" x14ac:dyDescent="0.15">
      <c r="A46" s="48"/>
      <c r="B46" s="48">
        <f t="shared" si="8"/>
        <v>0</v>
      </c>
      <c r="C46" s="93" t="e">
        <f>IF(Calculation!U120,Calculation!N95,"Not Applicable")</f>
        <v>#DIV/0!</v>
      </c>
      <c r="D46" s="94" t="e">
        <f>IF(Calculation!U120,Calculation!R95,"Not Applicable")</f>
        <v>#DIV/0!</v>
      </c>
      <c r="E46" s="94" t="e">
        <f>IF(Calculation!U120,Calculation!P95,"Not Applicable")</f>
        <v>#DIV/0!</v>
      </c>
      <c r="F46" s="94" t="e">
        <f>IF(Calculation!U120,Calculation!Q95,"Not Applicable")</f>
        <v>#DIV/0!</v>
      </c>
      <c r="G46" s="94" t="e">
        <f>IF(Calculation!U120,Calculation!S95,"Not Applicable")</f>
        <v>#DIV/0!</v>
      </c>
      <c r="H46" s="94" t="e">
        <f>IF(Calculation!U120,Calculation!U95,"Not Applicable")</f>
        <v>#DIV/0!</v>
      </c>
      <c r="I46" s="94" t="e">
        <f>IF(Calculation!W120,Calculation!X95,"Not Applicable")</f>
        <v>#DIV/0!</v>
      </c>
      <c r="J46" s="93" t="e">
        <f>IF(Calculation!Y177,Calculation!N152,"Not Applicable")</f>
        <v>#DIV/0!</v>
      </c>
      <c r="K46" s="94" t="e">
        <f>IF(Calculation!Y177,Calculation!R152,"Not Applicable")</f>
        <v>#DIV/0!</v>
      </c>
      <c r="L46" s="94" t="e">
        <f>IF(Calculation!Y177,Calculation!P152,"Not Applicable")</f>
        <v>#DIV/0!</v>
      </c>
      <c r="M46" s="94" t="e">
        <f>IF(Calculation!Y177,Calculation!Q152,"Not Applicable")</f>
        <v>#DIV/0!</v>
      </c>
      <c r="N46" s="94" t="e">
        <f>IF(Calculation!Y177,Calculation!S152,"Not Applicable")</f>
        <v>#DIV/0!</v>
      </c>
      <c r="O46" s="94" t="e">
        <f>IF(Calculation!Y177,Calculation!U152,"Not Applicable")</f>
        <v>#DIV/0!</v>
      </c>
      <c r="P46" s="94" t="e">
        <f>IF(Calculation!Y177,Calculation!X152,"Not Applicable")</f>
        <v>#DIV/0!</v>
      </c>
      <c r="Q46" s="48"/>
      <c r="R46" s="48"/>
      <c r="S46" s="48"/>
      <c r="T46" s="48"/>
      <c r="U46" s="48"/>
      <c r="V46" s="48"/>
      <c r="W46" s="48"/>
      <c r="X46" s="48"/>
      <c r="Y46" s="48"/>
      <c r="Z46" s="48"/>
      <c r="AA46" s="48"/>
    </row>
    <row r="47" spans="1:27" ht="14.25" hidden="1" x14ac:dyDescent="0.15">
      <c r="A47" s="48"/>
      <c r="B47" s="48"/>
      <c r="C47" s="48"/>
      <c r="D47" s="48"/>
      <c r="E47" s="48"/>
      <c r="F47" s="48"/>
      <c r="G47" s="48"/>
      <c r="H47" s="48"/>
      <c r="I47" s="48"/>
      <c r="J47" s="48"/>
      <c r="K47" s="48"/>
      <c r="L47" s="48"/>
      <c r="M47" s="48"/>
      <c r="N47" s="48"/>
      <c r="O47" s="48"/>
      <c r="P47" s="48"/>
      <c r="Q47" s="48"/>
      <c r="R47" s="48"/>
      <c r="U47" s="48"/>
      <c r="V47" s="48"/>
      <c r="W47" s="48"/>
    </row>
    <row r="48" spans="1:27" ht="15" hidden="1" x14ac:dyDescent="0.15">
      <c r="A48" s="48"/>
      <c r="B48" s="53" t="s">
        <v>35</v>
      </c>
      <c r="C48" s="53"/>
      <c r="D48" s="53"/>
      <c r="E48" s="48"/>
      <c r="F48" s="48"/>
      <c r="G48" s="48"/>
      <c r="H48" s="48"/>
      <c r="I48" s="48"/>
      <c r="J48" s="48"/>
      <c r="L48" s="48" t="s">
        <v>107</v>
      </c>
      <c r="M48" s="48"/>
      <c r="N48" s="48"/>
      <c r="O48" s="48"/>
      <c r="P48" s="48"/>
      <c r="Q48" s="48"/>
      <c r="R48" s="48"/>
      <c r="U48" s="48"/>
      <c r="V48" s="48"/>
      <c r="W48" s="48"/>
    </row>
    <row r="49" spans="1:30" ht="15" hidden="1" x14ac:dyDescent="0.15">
      <c r="A49" s="48"/>
      <c r="B49" s="53" t="s">
        <v>36</v>
      </c>
      <c r="C49" s="53" t="s">
        <v>37</v>
      </c>
      <c r="D49" s="53" t="s">
        <v>38</v>
      </c>
      <c r="E49" s="53"/>
      <c r="F49" s="48"/>
      <c r="G49" s="48"/>
      <c r="H49" s="48"/>
      <c r="I49" s="48"/>
      <c r="L49" s="99">
        <v>1</v>
      </c>
      <c r="M49" s="99">
        <v>2</v>
      </c>
      <c r="N49" s="99">
        <v>3</v>
      </c>
      <c r="O49" s="131">
        <v>4</v>
      </c>
      <c r="P49" s="131">
        <v>5</v>
      </c>
      <c r="Q49" s="138">
        <v>6</v>
      </c>
      <c r="R49" s="98">
        <v>7</v>
      </c>
      <c r="S49" s="98">
        <v>8</v>
      </c>
      <c r="T49" s="98">
        <v>9</v>
      </c>
      <c r="U49" s="98">
        <v>10</v>
      </c>
      <c r="V49" s="100">
        <v>11</v>
      </c>
      <c r="W49" s="101">
        <v>12</v>
      </c>
      <c r="X49" s="102">
        <v>13</v>
      </c>
      <c r="Y49" s="104">
        <v>14</v>
      </c>
      <c r="Z49" s="104">
        <v>15</v>
      </c>
      <c r="AA49" s="104">
        <v>16</v>
      </c>
      <c r="AB49" s="105">
        <v>17</v>
      </c>
      <c r="AC49" s="105">
        <v>18</v>
      </c>
      <c r="AD49" s="105">
        <v>19</v>
      </c>
    </row>
    <row r="50" spans="1:30" ht="16.5" hidden="1" x14ac:dyDescent="0.15">
      <c r="A50" s="48"/>
      <c r="B50" s="53"/>
      <c r="C50" s="130">
        <v>5</v>
      </c>
      <c r="D50" s="130">
        <v>230</v>
      </c>
      <c r="E50" s="53"/>
      <c r="F50" s="48"/>
      <c r="G50" s="48"/>
      <c r="H50" s="48"/>
      <c r="I50" s="62" t="s">
        <v>109</v>
      </c>
      <c r="J50" s="134" t="s">
        <v>99</v>
      </c>
      <c r="K50" s="134"/>
      <c r="L50" s="99" t="str">
        <f t="shared" ref="L50:AD50" si="9">L66</f>
        <v>5000K Natural</v>
      </c>
      <c r="M50" s="99" t="str">
        <f t="shared" si="9"/>
        <v>4000K Natural</v>
      </c>
      <c r="N50" s="99" t="str">
        <f t="shared" si="9"/>
        <v>3500K Natural</v>
      </c>
      <c r="O50" s="131" t="str">
        <f t="shared" si="9"/>
        <v>3000K Natural</v>
      </c>
      <c r="P50" s="131" t="str">
        <f t="shared" si="9"/>
        <v>2700K Natural</v>
      </c>
      <c r="Q50" s="138">
        <f t="shared" si="9"/>
        <v>0</v>
      </c>
      <c r="R50" s="98">
        <f t="shared" si="9"/>
        <v>0</v>
      </c>
      <c r="S50" s="98">
        <f t="shared" si="9"/>
        <v>0</v>
      </c>
      <c r="T50" s="98">
        <f t="shared" si="9"/>
        <v>0</v>
      </c>
      <c r="U50" s="98">
        <f t="shared" si="9"/>
        <v>0</v>
      </c>
      <c r="V50" s="100">
        <f t="shared" si="9"/>
        <v>0</v>
      </c>
      <c r="W50" s="100">
        <f t="shared" si="9"/>
        <v>0</v>
      </c>
      <c r="X50" s="100">
        <f t="shared" si="9"/>
        <v>0</v>
      </c>
      <c r="Y50" s="103">
        <f t="shared" si="9"/>
        <v>0</v>
      </c>
      <c r="Z50" s="103">
        <f t="shared" si="9"/>
        <v>0</v>
      </c>
      <c r="AA50" s="103">
        <f t="shared" si="9"/>
        <v>0</v>
      </c>
      <c r="AB50" s="105">
        <f t="shared" si="9"/>
        <v>0</v>
      </c>
      <c r="AC50" s="105">
        <f t="shared" si="9"/>
        <v>0</v>
      </c>
      <c r="AD50" s="105">
        <f t="shared" si="9"/>
        <v>0</v>
      </c>
    </row>
    <row r="51" spans="1:30" ht="15" hidden="1" x14ac:dyDescent="0.15">
      <c r="A51" s="48"/>
      <c r="B51" s="53" t="s">
        <v>64</v>
      </c>
      <c r="C51" s="53" t="s">
        <v>38</v>
      </c>
      <c r="D51" s="53" t="s">
        <v>37</v>
      </c>
      <c r="E51" s="48"/>
      <c r="F51" s="48"/>
      <c r="G51" s="48"/>
      <c r="H51" s="48"/>
      <c r="I51" s="129">
        <v>9.3999989999999993</v>
      </c>
      <c r="J51" s="135" t="s">
        <v>103</v>
      </c>
      <c r="K51" s="136">
        <v>0.92092891354753037</v>
      </c>
      <c r="L51" s="116">
        <v>517</v>
      </c>
      <c r="M51" s="116">
        <v>501</v>
      </c>
      <c r="N51" s="116">
        <v>469</v>
      </c>
      <c r="O51" s="116">
        <v>455</v>
      </c>
      <c r="P51" s="116">
        <v>433</v>
      </c>
      <c r="Q51" s="116"/>
      <c r="R51" s="116"/>
      <c r="S51" s="116"/>
      <c r="T51" s="116"/>
      <c r="U51" s="121"/>
      <c r="V51" s="121"/>
      <c r="W51" s="121"/>
      <c r="X51" s="121"/>
      <c r="Y51" s="116"/>
      <c r="Z51" s="116"/>
      <c r="AA51" s="116"/>
      <c r="AB51" s="116"/>
      <c r="AC51" s="116"/>
      <c r="AD51" s="116"/>
    </row>
    <row r="52" spans="1:30" ht="15" hidden="1" x14ac:dyDescent="0.15">
      <c r="A52" s="48"/>
      <c r="B52" s="53"/>
      <c r="C52" s="130">
        <v>105</v>
      </c>
      <c r="D52" s="130">
        <v>-40</v>
      </c>
      <c r="E52" s="48"/>
      <c r="F52" s="48"/>
      <c r="G52" s="48"/>
      <c r="H52" s="48"/>
      <c r="I52" s="129">
        <v>9.3999989999999993</v>
      </c>
      <c r="J52" s="135" t="s">
        <v>104</v>
      </c>
      <c r="K52" s="136">
        <v>0.92196542875329413</v>
      </c>
      <c r="L52" s="116"/>
      <c r="M52" s="116"/>
      <c r="N52" s="116"/>
      <c r="O52" s="116"/>
      <c r="P52" s="116"/>
      <c r="Q52" s="116"/>
      <c r="R52" s="116"/>
      <c r="S52" s="116"/>
      <c r="T52" s="116"/>
      <c r="U52" s="121"/>
      <c r="V52" s="121"/>
      <c r="W52" s="121"/>
      <c r="X52" s="121"/>
      <c r="Y52" s="116"/>
      <c r="Z52" s="116"/>
      <c r="AA52" s="116"/>
      <c r="AB52" s="122"/>
      <c r="AC52" s="122"/>
      <c r="AD52" s="122"/>
    </row>
    <row r="53" spans="1:30" ht="15" hidden="1" x14ac:dyDescent="0.15">
      <c r="A53" s="48"/>
      <c r="B53" s="53" t="s">
        <v>39</v>
      </c>
      <c r="C53" s="53" t="s">
        <v>38</v>
      </c>
      <c r="D53" s="53" t="s">
        <v>37</v>
      </c>
      <c r="E53" s="48"/>
      <c r="F53" s="48"/>
      <c r="G53" s="48"/>
      <c r="H53" s="48"/>
      <c r="I53" s="129">
        <v>31.33333</v>
      </c>
      <c r="J53" s="135" t="s">
        <v>105</v>
      </c>
      <c r="K53" s="136">
        <v>0.92150513939214407</v>
      </c>
      <c r="L53" s="116">
        <v>1074</v>
      </c>
      <c r="M53" s="116">
        <v>1042</v>
      </c>
      <c r="N53" s="116">
        <v>976</v>
      </c>
      <c r="O53" s="116">
        <v>946</v>
      </c>
      <c r="P53" s="116">
        <v>901</v>
      </c>
      <c r="Q53" s="142"/>
      <c r="R53" s="116"/>
      <c r="S53" s="116"/>
      <c r="T53" s="116"/>
      <c r="U53" s="121"/>
      <c r="V53" s="121"/>
      <c r="W53" s="121"/>
      <c r="X53" s="121"/>
      <c r="Y53" s="116"/>
      <c r="Z53" s="116"/>
      <c r="AA53" s="116"/>
      <c r="AB53" s="122"/>
      <c r="AC53" s="122"/>
      <c r="AD53" s="122"/>
    </row>
    <row r="54" spans="1:30" ht="15" hidden="1" x14ac:dyDescent="0.2">
      <c r="A54" s="48"/>
      <c r="B54" s="53"/>
      <c r="C54" s="130">
        <v>140</v>
      </c>
      <c r="D54" s="130">
        <v>-25</v>
      </c>
      <c r="E54" s="48"/>
      <c r="F54" s="48"/>
      <c r="G54" s="48"/>
      <c r="H54" s="48"/>
      <c r="I54" s="129">
        <v>37.599995999999997</v>
      </c>
      <c r="J54" s="137">
        <v>1204</v>
      </c>
      <c r="K54" s="136">
        <v>0.93469553652496007</v>
      </c>
      <c r="L54" s="116">
        <v>2606</v>
      </c>
      <c r="M54" s="116">
        <v>2528</v>
      </c>
      <c r="N54" s="116">
        <v>2368</v>
      </c>
      <c r="O54" s="116">
        <v>2295</v>
      </c>
      <c r="P54" s="116">
        <v>2186</v>
      </c>
      <c r="Q54" s="142"/>
      <c r="R54" s="116"/>
      <c r="S54" s="116"/>
      <c r="T54" s="116"/>
      <c r="U54" s="121"/>
      <c r="V54" s="121"/>
      <c r="W54" s="121"/>
      <c r="X54" s="121"/>
      <c r="Y54" s="123"/>
      <c r="Z54" s="123"/>
      <c r="AA54" s="123"/>
      <c r="AB54" s="122"/>
      <c r="AC54" s="122"/>
      <c r="AD54" s="122"/>
    </row>
    <row r="55" spans="1:30" ht="14.25" hidden="1" x14ac:dyDescent="0.2">
      <c r="A55" s="48"/>
      <c r="B55" s="48"/>
      <c r="C55" s="48"/>
      <c r="D55" s="48"/>
      <c r="E55" s="48"/>
      <c r="F55" s="48"/>
      <c r="G55" s="48"/>
      <c r="H55" s="48"/>
      <c r="I55" s="129">
        <v>37.599995999999997</v>
      </c>
      <c r="J55" s="137">
        <v>1206</v>
      </c>
      <c r="K55" s="136">
        <v>0.93416356189607752</v>
      </c>
      <c r="L55" s="116">
        <v>3869</v>
      </c>
      <c r="M55" s="116">
        <v>3754</v>
      </c>
      <c r="N55" s="116">
        <v>3516</v>
      </c>
      <c r="O55" s="116">
        <v>3408</v>
      </c>
      <c r="P55" s="116">
        <v>3246</v>
      </c>
      <c r="Q55" s="142"/>
      <c r="R55" s="116"/>
      <c r="S55" s="116"/>
      <c r="T55" s="116"/>
      <c r="U55" s="121"/>
      <c r="V55" s="121"/>
      <c r="W55" s="121"/>
      <c r="X55" s="121"/>
      <c r="Y55" s="124"/>
      <c r="Z55" s="124"/>
      <c r="AA55" s="124"/>
      <c r="AB55" s="122"/>
      <c r="AC55" s="122"/>
      <c r="AD55" s="122"/>
    </row>
    <row r="56" spans="1:30" ht="21" hidden="1" x14ac:dyDescent="0.15">
      <c r="A56" s="250" t="s">
        <v>102</v>
      </c>
      <c r="B56" s="250"/>
      <c r="C56" s="56" t="s">
        <v>100</v>
      </c>
      <c r="H56" s="48"/>
      <c r="I56" s="129">
        <v>37.599995999999997</v>
      </c>
      <c r="J56" s="135">
        <v>1210</v>
      </c>
      <c r="K56" s="136">
        <v>0.94205394981624357</v>
      </c>
      <c r="L56" s="116">
        <v>6453</v>
      </c>
      <c r="M56" s="116">
        <v>6261</v>
      </c>
      <c r="N56" s="116">
        <v>5864</v>
      </c>
      <c r="O56" s="116">
        <v>5684</v>
      </c>
      <c r="P56" s="116">
        <v>5414</v>
      </c>
      <c r="Q56" s="142"/>
      <c r="R56" s="116"/>
      <c r="S56" s="116"/>
      <c r="T56" s="116"/>
      <c r="U56" s="121"/>
      <c r="V56" s="121"/>
      <c r="W56" s="121"/>
      <c r="X56" s="121"/>
      <c r="Y56" s="123"/>
      <c r="Z56" s="123"/>
      <c r="AA56" s="123"/>
      <c r="AB56" s="122"/>
      <c r="AC56" s="122"/>
      <c r="AD56" s="122"/>
    </row>
    <row r="57" spans="1:30" ht="14.25" hidden="1" x14ac:dyDescent="0.2">
      <c r="H57" s="48"/>
      <c r="I57" s="59"/>
      <c r="J57" s="137"/>
      <c r="K57" s="136"/>
      <c r="L57" s="116"/>
      <c r="M57" s="116"/>
      <c r="N57" s="116"/>
      <c r="O57" s="116"/>
      <c r="P57" s="116"/>
      <c r="Q57" s="116"/>
      <c r="R57" s="116"/>
      <c r="S57" s="116"/>
      <c r="T57" s="116"/>
      <c r="U57" s="121"/>
      <c r="V57" s="121"/>
      <c r="W57" s="121"/>
      <c r="X57" s="121"/>
      <c r="Y57" s="123"/>
      <c r="Z57" s="123"/>
      <c r="AA57" s="123"/>
      <c r="AB57" s="122"/>
      <c r="AC57" s="122"/>
      <c r="AD57" s="122"/>
    </row>
    <row r="58" spans="1:30" ht="14.25" hidden="1" x14ac:dyDescent="0.2">
      <c r="C58" s="49" t="s">
        <v>40</v>
      </c>
      <c r="D58" s="49" t="s">
        <v>41</v>
      </c>
      <c r="E58" s="49" t="s">
        <v>42</v>
      </c>
      <c r="F58" s="49" t="s">
        <v>43</v>
      </c>
      <c r="G58" s="49" t="s">
        <v>44</v>
      </c>
      <c r="H58" s="126"/>
      <c r="I58" s="59"/>
      <c r="J58" s="137"/>
      <c r="K58" s="136"/>
      <c r="L58" s="116"/>
      <c r="M58" s="116"/>
      <c r="N58" s="116"/>
      <c r="O58" s="116"/>
      <c r="P58" s="116"/>
      <c r="Q58" s="116"/>
      <c r="R58" s="116"/>
      <c r="S58" s="116"/>
      <c r="T58" s="116"/>
      <c r="U58" s="121"/>
      <c r="V58" s="121"/>
      <c r="W58" s="121"/>
      <c r="X58" s="121"/>
      <c r="Y58" s="123"/>
      <c r="Z58" s="123"/>
      <c r="AA58" s="123"/>
      <c r="AB58" s="122"/>
      <c r="AC58" s="122"/>
      <c r="AD58" s="122"/>
    </row>
    <row r="59" spans="1:30" ht="14.25" hidden="1" x14ac:dyDescent="0.2">
      <c r="B59" s="57" t="s">
        <v>45</v>
      </c>
      <c r="C59" s="118">
        <v>5.6231687397017703E-9</v>
      </c>
      <c r="D59" s="118">
        <v>1.0968818264518601</v>
      </c>
      <c r="E59" s="118">
        <v>-1.5740768923686901E-6</v>
      </c>
      <c r="F59" s="118">
        <v>-1.115215453639155E-8</v>
      </c>
      <c r="G59" s="118">
        <v>2.7366883102613162E-6</v>
      </c>
      <c r="H59" s="126"/>
      <c r="I59" s="59"/>
      <c r="J59" s="137"/>
      <c r="K59" s="136"/>
      <c r="L59" s="116"/>
      <c r="M59" s="116"/>
      <c r="N59" s="116"/>
      <c r="O59" s="116"/>
      <c r="P59" s="116"/>
      <c r="Q59" s="116"/>
      <c r="R59" s="116"/>
      <c r="S59" s="116"/>
      <c r="T59" s="116"/>
      <c r="U59" s="121"/>
      <c r="V59" s="121"/>
      <c r="W59" s="121"/>
      <c r="X59" s="121"/>
      <c r="Y59" s="125"/>
      <c r="Z59" s="125"/>
      <c r="AA59" s="125"/>
      <c r="AB59" s="122"/>
      <c r="AC59" s="122"/>
      <c r="AD59" s="122"/>
    </row>
    <row r="60" spans="1:30" ht="14.25" hidden="1" x14ac:dyDescent="0.2">
      <c r="B60" s="57" t="s">
        <v>46</v>
      </c>
      <c r="C60" s="118">
        <v>-6.8430471092030796E-6</v>
      </c>
      <c r="D60" s="118">
        <v>28.364491609474101</v>
      </c>
      <c r="E60" s="118">
        <v>1.2473616721143199E-3</v>
      </c>
      <c r="F60" s="118">
        <v>-4.1294483136519757E-6</v>
      </c>
      <c r="G60" s="118">
        <v>-9.4613757242850683E-4</v>
      </c>
      <c r="H60" s="48"/>
      <c r="I60" s="59"/>
      <c r="J60" s="137"/>
      <c r="K60" s="136"/>
      <c r="L60" s="116"/>
      <c r="M60" s="116"/>
      <c r="N60" s="116"/>
      <c r="O60" s="116"/>
      <c r="P60" s="116"/>
      <c r="Q60" s="116"/>
      <c r="R60" s="116"/>
      <c r="S60" s="116"/>
      <c r="T60" s="116"/>
      <c r="U60" s="121"/>
      <c r="V60" s="121"/>
      <c r="W60" s="121"/>
      <c r="X60" s="121"/>
      <c r="Y60" s="116"/>
      <c r="Z60" s="116"/>
      <c r="AA60" s="116"/>
      <c r="AB60" s="122"/>
      <c r="AC60" s="122"/>
      <c r="AD60" s="122"/>
    </row>
    <row r="61" spans="1:30" ht="14.25" hidden="1" x14ac:dyDescent="0.2">
      <c r="B61" s="57" t="s">
        <v>47</v>
      </c>
      <c r="C61" s="118">
        <v>6.7343756711103903E-3</v>
      </c>
      <c r="D61" s="118">
        <v>145.51790587821401</v>
      </c>
      <c r="E61" s="118">
        <v>0.82991781220878702</v>
      </c>
      <c r="F61" s="118">
        <v>-1.3906686657642209E-3</v>
      </c>
      <c r="G61" s="118">
        <v>1.0219430090961608</v>
      </c>
      <c r="H61" s="48"/>
      <c r="I61" s="59"/>
      <c r="J61" s="137"/>
      <c r="K61" s="136"/>
      <c r="L61" s="116"/>
      <c r="M61" s="116"/>
      <c r="N61" s="116"/>
      <c r="O61" s="116"/>
      <c r="P61" s="116"/>
      <c r="Q61" s="116"/>
      <c r="R61" s="116"/>
      <c r="S61" s="116"/>
      <c r="T61" s="116"/>
      <c r="U61" s="121"/>
      <c r="V61" s="121"/>
      <c r="W61" s="121"/>
      <c r="X61" s="121"/>
      <c r="Y61" s="116"/>
      <c r="Z61" s="116"/>
      <c r="AA61" s="116"/>
      <c r="AB61" s="116"/>
      <c r="AC61" s="116"/>
      <c r="AD61" s="116"/>
    </row>
    <row r="62" spans="1:30" ht="14.25" hidden="1" x14ac:dyDescent="0.2">
      <c r="B62" s="57" t="s">
        <v>62</v>
      </c>
      <c r="C62" s="118">
        <v>9.1590531069136397E-4</v>
      </c>
      <c r="D62" s="118">
        <v>0.151560797680589</v>
      </c>
      <c r="E62" s="118"/>
      <c r="F62" s="118">
        <v>1.0375218742414281</v>
      </c>
      <c r="G62" s="118"/>
      <c r="H62" s="48"/>
      <c r="I62" s="48"/>
      <c r="J62" s="137"/>
      <c r="K62" s="136"/>
      <c r="L62" s="116"/>
      <c r="M62" s="116"/>
      <c r="N62" s="116"/>
      <c r="O62" s="116"/>
      <c r="P62" s="116"/>
      <c r="Q62" s="116"/>
      <c r="R62" s="116"/>
      <c r="S62" s="116"/>
      <c r="T62" s="116"/>
      <c r="U62" s="121"/>
      <c r="V62" s="121"/>
      <c r="W62" s="121"/>
      <c r="X62" s="121"/>
      <c r="Y62" s="116"/>
      <c r="Z62" s="116"/>
      <c r="AA62" s="116"/>
      <c r="AB62" s="116"/>
      <c r="AC62" s="116"/>
      <c r="AD62" s="116"/>
    </row>
    <row r="63" spans="1:30" ht="14.25" hidden="1" x14ac:dyDescent="0.2">
      <c r="A63" s="48"/>
      <c r="B63" s="48"/>
      <c r="C63" s="58"/>
      <c r="D63" s="59"/>
      <c r="E63" s="48"/>
      <c r="F63" s="48"/>
      <c r="G63" s="48"/>
      <c r="H63" s="48"/>
      <c r="I63" s="48"/>
      <c r="J63" s="137"/>
      <c r="K63" s="136"/>
      <c r="L63" s="116"/>
      <c r="M63" s="116"/>
      <c r="N63" s="116"/>
      <c r="O63" s="116"/>
      <c r="P63" s="116"/>
      <c r="Q63" s="116"/>
      <c r="R63" s="116"/>
      <c r="S63" s="116"/>
      <c r="T63" s="116"/>
      <c r="U63" s="121"/>
      <c r="V63" s="121"/>
      <c r="W63" s="121"/>
      <c r="X63" s="121"/>
      <c r="Y63" s="116"/>
      <c r="Z63" s="116"/>
      <c r="AA63" s="116"/>
      <c r="AB63" s="116"/>
      <c r="AC63" s="116"/>
      <c r="AD63" s="116"/>
    </row>
    <row r="64" spans="1:30" ht="14.25" hidden="1" x14ac:dyDescent="0.15">
      <c r="A64" s="48"/>
      <c r="B64" s="48"/>
      <c r="C64" s="60"/>
      <c r="D64" s="61"/>
      <c r="E64" s="48"/>
      <c r="F64" s="48"/>
      <c r="G64" s="48"/>
      <c r="H64" s="48"/>
      <c r="I64" s="48"/>
      <c r="J64" s="48"/>
      <c r="L64" s="48" t="s">
        <v>106</v>
      </c>
      <c r="M64" s="62"/>
      <c r="N64" s="62"/>
      <c r="O64" s="111"/>
      <c r="P64" s="62"/>
      <c r="Q64" s="62"/>
      <c r="R64" s="62"/>
      <c r="S64" s="62"/>
      <c r="T64" s="62"/>
      <c r="U64" s="110"/>
      <c r="V64" s="62"/>
      <c r="W64" s="62"/>
      <c r="X64" s="57"/>
      <c r="Y64" s="57"/>
      <c r="Z64" s="57"/>
      <c r="AA64" s="57"/>
      <c r="AB64" s="112"/>
    </row>
    <row r="65" spans="1:30" ht="14.25" hidden="1" x14ac:dyDescent="0.15">
      <c r="A65" s="57"/>
      <c r="B65" s="57" t="s">
        <v>40</v>
      </c>
      <c r="C65" s="57" t="s">
        <v>41</v>
      </c>
      <c r="D65" s="57" t="s">
        <v>42</v>
      </c>
      <c r="E65" s="57" t="s">
        <v>43</v>
      </c>
      <c r="F65" s="57" t="s">
        <v>44</v>
      </c>
      <c r="G65" s="48"/>
      <c r="H65" s="62"/>
      <c r="I65" s="62"/>
      <c r="J65" s="62"/>
      <c r="K65" s="62"/>
      <c r="L65" s="99">
        <v>1</v>
      </c>
      <c r="M65" s="99">
        <v>2</v>
      </c>
      <c r="N65" s="99">
        <v>3</v>
      </c>
      <c r="O65" s="98">
        <v>4</v>
      </c>
      <c r="P65" s="98">
        <v>5</v>
      </c>
      <c r="Q65" s="98">
        <v>6</v>
      </c>
      <c r="R65" s="98">
        <v>7</v>
      </c>
      <c r="S65" s="98">
        <v>8</v>
      </c>
      <c r="T65" s="98">
        <v>9</v>
      </c>
      <c r="U65" s="98">
        <v>10</v>
      </c>
      <c r="V65" s="100">
        <v>11</v>
      </c>
      <c r="W65" s="101">
        <v>12</v>
      </c>
      <c r="X65" s="102">
        <v>13</v>
      </c>
      <c r="Y65" s="104">
        <v>14</v>
      </c>
      <c r="Z65" s="104">
        <v>15</v>
      </c>
      <c r="AA65" s="104">
        <v>16</v>
      </c>
      <c r="AB65" s="105">
        <v>17</v>
      </c>
      <c r="AC65" s="105">
        <v>18</v>
      </c>
      <c r="AD65" s="105">
        <v>19</v>
      </c>
    </row>
    <row r="66" spans="1:30" ht="14.25" hidden="1" x14ac:dyDescent="0.15">
      <c r="A66" s="57" t="s">
        <v>45</v>
      </c>
      <c r="B66" s="91">
        <f>C59</f>
        <v>5.6231687397017703E-9</v>
      </c>
      <c r="C66" s="91">
        <f>D59</f>
        <v>1.0968818264518601</v>
      </c>
      <c r="D66" s="91">
        <f>E59</f>
        <v>-1.5740768923686901E-6</v>
      </c>
      <c r="E66" s="91">
        <f>F59</f>
        <v>-1.115215453639155E-8</v>
      </c>
      <c r="F66" s="91">
        <f>G59</f>
        <v>2.7366883102613162E-6</v>
      </c>
      <c r="G66" s="48"/>
      <c r="H66" s="29" t="s">
        <v>1</v>
      </c>
      <c r="I66" s="30" t="s">
        <v>2</v>
      </c>
      <c r="J66" s="62"/>
      <c r="K66" s="62" t="s">
        <v>108</v>
      </c>
      <c r="L66" s="99" t="str">
        <f>K2</f>
        <v>5000K Natural</v>
      </c>
      <c r="M66" s="99" t="str">
        <f>K3</f>
        <v>4000K Natural</v>
      </c>
      <c r="N66" s="99" t="str">
        <f>K4</f>
        <v>3500K Natural</v>
      </c>
      <c r="O66" s="98" t="str">
        <f>K5</f>
        <v>3000K Natural</v>
      </c>
      <c r="P66" s="98" t="str">
        <f>K6</f>
        <v>2700K Natural</v>
      </c>
      <c r="Q66" s="98">
        <f>K7</f>
        <v>0</v>
      </c>
      <c r="R66" s="98">
        <f>K8</f>
        <v>0</v>
      </c>
      <c r="S66" s="98">
        <f>K9</f>
        <v>0</v>
      </c>
      <c r="T66" s="98">
        <f>K10</f>
        <v>0</v>
      </c>
      <c r="U66" s="98">
        <f>K11</f>
        <v>0</v>
      </c>
      <c r="V66" s="100">
        <f>K12</f>
        <v>0</v>
      </c>
      <c r="W66" s="100">
        <f>K13</f>
        <v>0</v>
      </c>
      <c r="X66" s="100">
        <f>K14</f>
        <v>0</v>
      </c>
      <c r="Y66" s="103">
        <f>K15</f>
        <v>0</v>
      </c>
      <c r="Z66" s="103">
        <f>K16</f>
        <v>0</v>
      </c>
      <c r="AA66" s="103">
        <f>K17</f>
        <v>0</v>
      </c>
      <c r="AB66" s="105">
        <f>K18</f>
        <v>0</v>
      </c>
      <c r="AC66" s="105">
        <f>K19</f>
        <v>0</v>
      </c>
      <c r="AD66" s="105">
        <f>K20</f>
        <v>0</v>
      </c>
    </row>
    <row r="67" spans="1:30" ht="14.25" hidden="1" x14ac:dyDescent="0.15">
      <c r="A67" s="57" t="s">
        <v>46</v>
      </c>
      <c r="B67" s="91">
        <f t="shared" ref="B67:F68" si="10">C60</f>
        <v>-6.8430471092030796E-6</v>
      </c>
      <c r="C67" s="91">
        <f t="shared" si="10"/>
        <v>28.364491609474101</v>
      </c>
      <c r="D67" s="91">
        <f t="shared" si="10"/>
        <v>1.2473616721143199E-3</v>
      </c>
      <c r="E67" s="91">
        <f t="shared" si="10"/>
        <v>-4.1294483136519757E-6</v>
      </c>
      <c r="F67" s="91">
        <f t="shared" si="10"/>
        <v>-9.4613757242850683E-4</v>
      </c>
      <c r="G67" s="48">
        <f>H67*I67</f>
        <v>9</v>
      </c>
      <c r="H67" s="127">
        <v>3</v>
      </c>
      <c r="I67" s="128">
        <v>3</v>
      </c>
      <c r="J67" s="48" t="str">
        <f t="shared" ref="J67:J72" si="11">B2</f>
        <v>CLU701-0303C4</v>
      </c>
      <c r="K67" s="129">
        <v>9.6865593535839078</v>
      </c>
      <c r="L67" s="109">
        <f t="shared" ref="L67:L75" si="12">L51/$K51</f>
        <v>561.38969294432616</v>
      </c>
      <c r="M67" s="109">
        <f t="shared" ref="M67:O79" si="13">M51/$K51</f>
        <v>544.01593068686157</v>
      </c>
      <c r="N67" s="109">
        <f t="shared" si="13"/>
        <v>509.26840617193227</v>
      </c>
      <c r="O67" s="109">
        <f t="shared" si="13"/>
        <v>494.06636419665074</v>
      </c>
      <c r="P67" s="109">
        <f t="shared" ref="P67:AA67" si="14">P51/$K51</f>
        <v>470.17744109263685</v>
      </c>
      <c r="Q67" s="109">
        <f t="shared" si="14"/>
        <v>0</v>
      </c>
      <c r="R67" s="109">
        <f t="shared" si="14"/>
        <v>0</v>
      </c>
      <c r="S67" s="109">
        <f t="shared" si="14"/>
        <v>0</v>
      </c>
      <c r="T67" s="109">
        <f t="shared" si="14"/>
        <v>0</v>
      </c>
      <c r="U67" s="109">
        <f t="shared" si="14"/>
        <v>0</v>
      </c>
      <c r="V67" s="109">
        <f t="shared" si="14"/>
        <v>0</v>
      </c>
      <c r="W67" s="109">
        <f t="shared" si="14"/>
        <v>0</v>
      </c>
      <c r="X67" s="109">
        <f t="shared" si="14"/>
        <v>0</v>
      </c>
      <c r="Y67" s="109">
        <f t="shared" si="14"/>
        <v>0</v>
      </c>
      <c r="Z67" s="109">
        <f t="shared" si="14"/>
        <v>0</v>
      </c>
      <c r="AA67" s="109">
        <f t="shared" si="14"/>
        <v>0</v>
      </c>
      <c r="AB67" s="109">
        <f t="shared" ref="AB67:AD71" si="15">AB51/$K51</f>
        <v>0</v>
      </c>
      <c r="AC67" s="109">
        <f t="shared" si="15"/>
        <v>0</v>
      </c>
      <c r="AD67" s="109">
        <f t="shared" si="15"/>
        <v>0</v>
      </c>
    </row>
    <row r="68" spans="1:30" ht="14.25" hidden="1" x14ac:dyDescent="0.15">
      <c r="A68" s="57" t="s">
        <v>47</v>
      </c>
      <c r="B68" s="91">
        <f t="shared" si="10"/>
        <v>6.7343756711103903E-3</v>
      </c>
      <c r="C68" s="91">
        <f t="shared" si="10"/>
        <v>145.51790587821401</v>
      </c>
      <c r="D68" s="91">
        <f t="shared" si="10"/>
        <v>0.82991781220878702</v>
      </c>
      <c r="E68" s="91">
        <f t="shared" si="10"/>
        <v>-1.3906686657642209E-3</v>
      </c>
      <c r="F68" s="91">
        <f t="shared" si="10"/>
        <v>1.0219430090961608</v>
      </c>
      <c r="G68" s="48">
        <f>H68*I68</f>
        <v>12</v>
      </c>
      <c r="H68" s="117">
        <v>3</v>
      </c>
      <c r="I68" s="117">
        <v>4</v>
      </c>
      <c r="J68" s="48" t="str">
        <f t="shared" si="11"/>
        <v>CLU701-0304C4</v>
      </c>
      <c r="K68" s="129">
        <v>9.683718893140437</v>
      </c>
      <c r="L68" s="109">
        <f t="shared" si="12"/>
        <v>0</v>
      </c>
      <c r="M68" s="109">
        <f t="shared" si="13"/>
        <v>0</v>
      </c>
      <c r="N68" s="109">
        <f t="shared" si="13"/>
        <v>0</v>
      </c>
      <c r="O68" s="109">
        <f t="shared" si="13"/>
        <v>0</v>
      </c>
      <c r="P68" s="109">
        <f t="shared" ref="P68:AA68" si="16">P52/$K52</f>
        <v>0</v>
      </c>
      <c r="Q68" s="109">
        <f t="shared" si="16"/>
        <v>0</v>
      </c>
      <c r="R68" s="109">
        <f t="shared" si="16"/>
        <v>0</v>
      </c>
      <c r="S68" s="109">
        <f t="shared" si="16"/>
        <v>0</v>
      </c>
      <c r="T68" s="109">
        <f t="shared" si="16"/>
        <v>0</v>
      </c>
      <c r="U68" s="109">
        <f t="shared" si="16"/>
        <v>0</v>
      </c>
      <c r="V68" s="109">
        <f t="shared" si="16"/>
        <v>0</v>
      </c>
      <c r="W68" s="109">
        <f t="shared" si="16"/>
        <v>0</v>
      </c>
      <c r="X68" s="109">
        <f t="shared" si="16"/>
        <v>0</v>
      </c>
      <c r="Y68" s="109">
        <f t="shared" si="16"/>
        <v>0</v>
      </c>
      <c r="Z68" s="109">
        <f t="shared" si="16"/>
        <v>0</v>
      </c>
      <c r="AA68" s="109">
        <f t="shared" si="16"/>
        <v>0</v>
      </c>
      <c r="AB68" s="109">
        <f t="shared" si="15"/>
        <v>0</v>
      </c>
      <c r="AC68" s="109">
        <f t="shared" si="15"/>
        <v>0</v>
      </c>
      <c r="AD68" s="109">
        <f t="shared" si="15"/>
        <v>0</v>
      </c>
    </row>
    <row r="69" spans="1:30" ht="14.25" hidden="1" x14ac:dyDescent="0.15">
      <c r="A69" s="62" t="s">
        <v>63</v>
      </c>
      <c r="B69" s="91">
        <f>C62</f>
        <v>9.1590531069136397E-4</v>
      </c>
      <c r="C69" s="91">
        <f>D62</f>
        <v>0.151560797680589</v>
      </c>
      <c r="D69" s="91"/>
      <c r="E69" s="91">
        <f>F62</f>
        <v>1.0375218742414281</v>
      </c>
      <c r="F69" s="92"/>
      <c r="G69" s="48">
        <f t="shared" ref="G69:G72" si="17">H69*I69</f>
        <v>20</v>
      </c>
      <c r="H69" s="117">
        <v>10</v>
      </c>
      <c r="I69" s="117">
        <v>2</v>
      </c>
      <c r="J69" s="48" t="str">
        <f t="shared" si="11"/>
        <v>CLU701-1002C4</v>
      </c>
      <c r="K69" s="129">
        <v>32.283275854905767</v>
      </c>
      <c r="L69" s="109">
        <f t="shared" si="12"/>
        <v>1165.4845470622624</v>
      </c>
      <c r="M69" s="109">
        <f t="shared" si="13"/>
        <v>1130.758750501748</v>
      </c>
      <c r="N69" s="109">
        <f t="shared" si="13"/>
        <v>1059.1367950956871</v>
      </c>
      <c r="O69" s="109">
        <f t="shared" si="13"/>
        <v>1026.581360820205</v>
      </c>
      <c r="P69" s="109">
        <f t="shared" ref="P69:AA69" si="18">P53/$K53</f>
        <v>977.7482094069818</v>
      </c>
      <c r="Q69" s="109">
        <f t="shared" si="18"/>
        <v>0</v>
      </c>
      <c r="R69" s="109">
        <f t="shared" si="18"/>
        <v>0</v>
      </c>
      <c r="S69" s="109">
        <f t="shared" si="18"/>
        <v>0</v>
      </c>
      <c r="T69" s="109">
        <f t="shared" si="18"/>
        <v>0</v>
      </c>
      <c r="U69" s="109">
        <f t="shared" si="18"/>
        <v>0</v>
      </c>
      <c r="V69" s="109">
        <f t="shared" si="18"/>
        <v>0</v>
      </c>
      <c r="W69" s="109">
        <f t="shared" si="18"/>
        <v>0</v>
      </c>
      <c r="X69" s="109">
        <f t="shared" si="18"/>
        <v>0</v>
      </c>
      <c r="Y69" s="109">
        <f t="shared" si="18"/>
        <v>0</v>
      </c>
      <c r="Z69" s="109">
        <f t="shared" si="18"/>
        <v>0</v>
      </c>
      <c r="AA69" s="109">
        <f t="shared" si="18"/>
        <v>0</v>
      </c>
      <c r="AB69" s="109">
        <f t="shared" si="15"/>
        <v>0</v>
      </c>
      <c r="AC69" s="109">
        <f t="shared" si="15"/>
        <v>0</v>
      </c>
      <c r="AD69" s="109">
        <f t="shared" si="15"/>
        <v>0</v>
      </c>
    </row>
    <row r="70" spans="1:30" ht="14.25" hidden="1" x14ac:dyDescent="0.15">
      <c r="A70" s="48"/>
      <c r="B70" s="65"/>
      <c r="C70" s="65"/>
      <c r="D70" s="48"/>
      <c r="E70" s="48"/>
      <c r="G70" s="48">
        <f t="shared" si="17"/>
        <v>48</v>
      </c>
      <c r="H70" s="117">
        <v>12</v>
      </c>
      <c r="I70" s="117">
        <v>4</v>
      </c>
      <c r="J70" s="48" t="str">
        <f t="shared" si="11"/>
        <v>CLU711-1204C4</v>
      </c>
      <c r="K70" s="129">
        <v>38.588559216015085</v>
      </c>
      <c r="L70" s="109">
        <f t="shared" si="12"/>
        <v>2788.0736541105857</v>
      </c>
      <c r="M70" s="109">
        <f t="shared" si="13"/>
        <v>2704.6240205646818</v>
      </c>
      <c r="N70" s="109">
        <f t="shared" si="13"/>
        <v>2533.4452850859047</v>
      </c>
      <c r="O70" s="109">
        <f t="shared" si="13"/>
        <v>2455.3449870237123</v>
      </c>
      <c r="P70" s="109">
        <f t="shared" ref="P70:T79" si="19">P54/$K54</f>
        <v>2338.7294734787952</v>
      </c>
      <c r="Q70" s="109">
        <f t="shared" si="19"/>
        <v>0</v>
      </c>
      <c r="R70" s="109">
        <f t="shared" si="19"/>
        <v>0</v>
      </c>
      <c r="S70" s="109">
        <f t="shared" si="19"/>
        <v>0</v>
      </c>
      <c r="T70" s="109">
        <f t="shared" si="19"/>
        <v>0</v>
      </c>
      <c r="U70" s="109">
        <f t="shared" ref="U70:AA71" si="20">U54/$K54</f>
        <v>0</v>
      </c>
      <c r="V70" s="109">
        <f t="shared" si="20"/>
        <v>0</v>
      </c>
      <c r="W70" s="109">
        <f t="shared" si="20"/>
        <v>0</v>
      </c>
      <c r="X70" s="109">
        <f t="shared" si="20"/>
        <v>0</v>
      </c>
      <c r="Y70" s="109">
        <f t="shared" si="20"/>
        <v>0</v>
      </c>
      <c r="Z70" s="109">
        <f t="shared" si="20"/>
        <v>0</v>
      </c>
      <c r="AA70" s="109">
        <f t="shared" si="20"/>
        <v>0</v>
      </c>
      <c r="AB70" s="109">
        <f t="shared" si="15"/>
        <v>0</v>
      </c>
      <c r="AC70" s="109">
        <f t="shared" si="15"/>
        <v>0</v>
      </c>
      <c r="AD70" s="109">
        <f t="shared" si="15"/>
        <v>0</v>
      </c>
    </row>
    <row r="71" spans="1:30" ht="15" hidden="1" x14ac:dyDescent="0.15">
      <c r="A71" s="48"/>
      <c r="B71" s="66"/>
      <c r="C71" s="67"/>
      <c r="D71" s="48" t="str">
        <f>CONCATENATE("lm(%,@",E75,"C)")</f>
        <v>lm(%,@67.4533360933627C)</v>
      </c>
      <c r="E71" s="132">
        <f>E66*$E$75^3+E67*$E$75^2+E68*$E$75+E69</f>
        <v>0.92150513751609653</v>
      </c>
      <c r="F71" s="68"/>
      <c r="G71" s="48">
        <f t="shared" si="17"/>
        <v>72</v>
      </c>
      <c r="H71" s="117">
        <v>12</v>
      </c>
      <c r="I71" s="117">
        <v>6</v>
      </c>
      <c r="J71" s="48" t="str">
        <f t="shared" si="11"/>
        <v>CLU721-1206C4</v>
      </c>
      <c r="K71" s="129">
        <v>38.594931908173024</v>
      </c>
      <c r="L71" s="109">
        <f t="shared" si="12"/>
        <v>4141.6729979780703</v>
      </c>
      <c r="M71" s="109">
        <f t="shared" si="13"/>
        <v>4018.5682177331805</v>
      </c>
      <c r="N71" s="109">
        <f t="shared" si="13"/>
        <v>3763.7948464437568</v>
      </c>
      <c r="O71" s="109">
        <f t="shared" si="13"/>
        <v>3648.183400648556</v>
      </c>
      <c r="P71" s="109">
        <f t="shared" si="19"/>
        <v>3474.7662319557548</v>
      </c>
      <c r="Q71" s="109">
        <f t="shared" si="19"/>
        <v>0</v>
      </c>
      <c r="R71" s="109">
        <f t="shared" si="19"/>
        <v>0</v>
      </c>
      <c r="S71" s="109">
        <f t="shared" si="19"/>
        <v>0</v>
      </c>
      <c r="T71" s="109">
        <f t="shared" si="19"/>
        <v>0</v>
      </c>
      <c r="U71" s="109">
        <f t="shared" ref="U71:AA79" si="21">U55/$K55</f>
        <v>0</v>
      </c>
      <c r="V71" s="109">
        <f t="shared" si="21"/>
        <v>0</v>
      </c>
      <c r="W71" s="109">
        <f t="shared" si="21"/>
        <v>0</v>
      </c>
      <c r="X71" s="109">
        <f t="shared" si="21"/>
        <v>0</v>
      </c>
      <c r="Y71" s="109">
        <f t="shared" si="20"/>
        <v>0</v>
      </c>
      <c r="Z71" s="109">
        <f t="shared" si="20"/>
        <v>0</v>
      </c>
      <c r="AA71" s="109">
        <f t="shared" si="20"/>
        <v>0</v>
      </c>
      <c r="AB71" s="109">
        <f t="shared" si="15"/>
        <v>0</v>
      </c>
      <c r="AC71" s="109">
        <f t="shared" si="15"/>
        <v>0</v>
      </c>
      <c r="AD71" s="109">
        <f t="shared" si="15"/>
        <v>0</v>
      </c>
    </row>
    <row r="72" spans="1:30" ht="14.25" hidden="1" x14ac:dyDescent="0.15">
      <c r="A72" s="48"/>
      <c r="B72" s="48"/>
      <c r="C72" s="48"/>
      <c r="D72" s="48"/>
      <c r="E72" s="48"/>
      <c r="G72" s="48">
        <f t="shared" si="17"/>
        <v>120</v>
      </c>
      <c r="H72" s="117">
        <v>12</v>
      </c>
      <c r="I72" s="117">
        <v>10</v>
      </c>
      <c r="J72" s="48" t="str">
        <f t="shared" si="11"/>
        <v>CLU731-1210C4</v>
      </c>
      <c r="K72" s="129">
        <v>38.497992627684631</v>
      </c>
      <c r="L72" s="109">
        <f t="shared" si="12"/>
        <v>6849.9261653313142</v>
      </c>
      <c r="M72" s="109">
        <f t="shared" si="13"/>
        <v>6646.1161817975144</v>
      </c>
      <c r="N72" s="109">
        <f t="shared" si="13"/>
        <v>6224.6965804281463</v>
      </c>
      <c r="O72" s="109">
        <f t="shared" si="13"/>
        <v>6033.6247208652085</v>
      </c>
      <c r="P72" s="109">
        <f t="shared" si="19"/>
        <v>5747.0169315208022</v>
      </c>
      <c r="Q72" s="109">
        <f t="shared" si="19"/>
        <v>0</v>
      </c>
      <c r="R72" s="109">
        <f t="shared" si="19"/>
        <v>0</v>
      </c>
      <c r="S72" s="109">
        <f t="shared" si="19"/>
        <v>0</v>
      </c>
      <c r="T72" s="109">
        <f t="shared" si="19"/>
        <v>0</v>
      </c>
      <c r="U72" s="109">
        <f t="shared" si="21"/>
        <v>0</v>
      </c>
      <c r="V72" s="109">
        <f t="shared" si="21"/>
        <v>0</v>
      </c>
      <c r="W72" s="109">
        <f t="shared" si="21"/>
        <v>0</v>
      </c>
      <c r="X72" s="109">
        <f t="shared" si="21"/>
        <v>0</v>
      </c>
      <c r="Y72" s="109">
        <f t="shared" ref="Y72:AD72" si="22">Y56/$K56</f>
        <v>0</v>
      </c>
      <c r="Z72" s="109">
        <f t="shared" si="22"/>
        <v>0</v>
      </c>
      <c r="AA72" s="109">
        <f t="shared" si="22"/>
        <v>0</v>
      </c>
      <c r="AB72" s="109">
        <f t="shared" si="22"/>
        <v>0</v>
      </c>
      <c r="AC72" s="109">
        <f t="shared" si="22"/>
        <v>0</v>
      </c>
      <c r="AD72" s="109">
        <f t="shared" si="22"/>
        <v>0</v>
      </c>
    </row>
    <row r="73" spans="1:30" ht="14.25" hidden="1" x14ac:dyDescent="0.15">
      <c r="A73" s="48"/>
      <c r="B73" s="48"/>
      <c r="C73" s="48"/>
      <c r="D73" s="48" t="s">
        <v>27</v>
      </c>
      <c r="E73" s="69">
        <f>Simulator!G6</f>
        <v>350</v>
      </c>
      <c r="G73" s="48"/>
      <c r="H73" s="117"/>
      <c r="I73" s="117"/>
      <c r="J73" s="48"/>
      <c r="K73" s="129"/>
      <c r="L73" s="109" t="e">
        <f t="shared" si="12"/>
        <v>#DIV/0!</v>
      </c>
      <c r="M73" s="109" t="e">
        <f t="shared" si="13"/>
        <v>#DIV/0!</v>
      </c>
      <c r="N73" s="109" t="e">
        <f t="shared" si="13"/>
        <v>#DIV/0!</v>
      </c>
      <c r="O73" s="109" t="e">
        <f t="shared" si="13"/>
        <v>#DIV/0!</v>
      </c>
      <c r="P73" s="109" t="e">
        <f t="shared" si="19"/>
        <v>#DIV/0!</v>
      </c>
      <c r="Q73" s="109" t="e">
        <f t="shared" si="19"/>
        <v>#DIV/0!</v>
      </c>
      <c r="R73" s="109" t="e">
        <f t="shared" si="19"/>
        <v>#DIV/0!</v>
      </c>
      <c r="S73" s="109" t="e">
        <f t="shared" si="19"/>
        <v>#DIV/0!</v>
      </c>
      <c r="T73" s="109" t="e">
        <f t="shared" si="19"/>
        <v>#DIV/0!</v>
      </c>
      <c r="U73" s="109" t="e">
        <f t="shared" si="21"/>
        <v>#DIV/0!</v>
      </c>
      <c r="V73" s="109" t="e">
        <f t="shared" si="21"/>
        <v>#DIV/0!</v>
      </c>
      <c r="W73" s="109" t="e">
        <f t="shared" si="21"/>
        <v>#DIV/0!</v>
      </c>
      <c r="X73" s="109" t="e">
        <f t="shared" si="21"/>
        <v>#DIV/0!</v>
      </c>
      <c r="Y73" s="109" t="e">
        <f t="shared" ref="Y73:AD73" si="23">Y57/$K57</f>
        <v>#DIV/0!</v>
      </c>
      <c r="Z73" s="109" t="e">
        <f t="shared" si="23"/>
        <v>#DIV/0!</v>
      </c>
      <c r="AA73" s="109" t="e">
        <f t="shared" si="23"/>
        <v>#DIV/0!</v>
      </c>
      <c r="AB73" s="109" t="e">
        <f t="shared" si="23"/>
        <v>#DIV/0!</v>
      </c>
      <c r="AC73" s="109" t="e">
        <f t="shared" si="23"/>
        <v>#DIV/0!</v>
      </c>
      <c r="AD73" s="109" t="e">
        <f t="shared" si="23"/>
        <v>#DIV/0!</v>
      </c>
    </row>
    <row r="74" spans="1:30" ht="14.25" hidden="1" x14ac:dyDescent="0.15">
      <c r="A74" s="48"/>
      <c r="B74" s="65"/>
      <c r="C74" s="65"/>
      <c r="D74" s="48"/>
      <c r="E74" s="48"/>
      <c r="G74" s="48"/>
      <c r="H74" s="117"/>
      <c r="I74" s="117"/>
      <c r="J74" s="48"/>
      <c r="K74" s="129"/>
      <c r="L74" s="109" t="e">
        <f t="shared" si="12"/>
        <v>#DIV/0!</v>
      </c>
      <c r="M74" s="109" t="e">
        <f t="shared" si="13"/>
        <v>#DIV/0!</v>
      </c>
      <c r="N74" s="109" t="e">
        <f t="shared" si="13"/>
        <v>#DIV/0!</v>
      </c>
      <c r="O74" s="109" t="e">
        <f t="shared" si="13"/>
        <v>#DIV/0!</v>
      </c>
      <c r="P74" s="109" t="e">
        <f t="shared" si="19"/>
        <v>#DIV/0!</v>
      </c>
      <c r="Q74" s="109" t="e">
        <f t="shared" si="19"/>
        <v>#DIV/0!</v>
      </c>
      <c r="R74" s="109" t="e">
        <f t="shared" si="19"/>
        <v>#DIV/0!</v>
      </c>
      <c r="S74" s="109" t="e">
        <f t="shared" si="19"/>
        <v>#DIV/0!</v>
      </c>
      <c r="T74" s="109" t="e">
        <f t="shared" si="19"/>
        <v>#DIV/0!</v>
      </c>
      <c r="U74" s="109" t="e">
        <f t="shared" si="21"/>
        <v>#DIV/0!</v>
      </c>
      <c r="V74" s="109" t="e">
        <f t="shared" si="21"/>
        <v>#DIV/0!</v>
      </c>
      <c r="W74" s="109" t="e">
        <f t="shared" si="21"/>
        <v>#DIV/0!</v>
      </c>
      <c r="X74" s="109" t="e">
        <f t="shared" si="21"/>
        <v>#DIV/0!</v>
      </c>
      <c r="Y74" s="109" t="e">
        <f t="shared" ref="Y74:AD74" si="24">Y58/$K58</f>
        <v>#DIV/0!</v>
      </c>
      <c r="Z74" s="109" t="e">
        <f t="shared" si="24"/>
        <v>#DIV/0!</v>
      </c>
      <c r="AA74" s="109" t="e">
        <f t="shared" si="24"/>
        <v>#DIV/0!</v>
      </c>
      <c r="AB74" s="109" t="e">
        <f t="shared" si="24"/>
        <v>#DIV/0!</v>
      </c>
      <c r="AC74" s="109" t="e">
        <f t="shared" si="24"/>
        <v>#DIV/0!</v>
      </c>
      <c r="AD74" s="109" t="e">
        <f t="shared" si="24"/>
        <v>#DIV/0!</v>
      </c>
    </row>
    <row r="75" spans="1:30" ht="14.25" hidden="1" x14ac:dyDescent="0.15">
      <c r="A75" s="48"/>
      <c r="B75" s="55"/>
      <c r="C75" s="70"/>
      <c r="D75" s="48" t="s">
        <v>49</v>
      </c>
      <c r="E75" s="71">
        <f>Simulator!L6</f>
        <v>67.453336093362736</v>
      </c>
      <c r="G75" s="48"/>
      <c r="H75" s="117"/>
      <c r="I75" s="117"/>
      <c r="J75" s="48"/>
      <c r="K75" s="129"/>
      <c r="L75" s="109" t="e">
        <f t="shared" si="12"/>
        <v>#DIV/0!</v>
      </c>
      <c r="M75" s="109" t="e">
        <f t="shared" si="13"/>
        <v>#DIV/0!</v>
      </c>
      <c r="N75" s="109" t="e">
        <f t="shared" si="13"/>
        <v>#DIV/0!</v>
      </c>
      <c r="O75" s="109" t="e">
        <f t="shared" si="13"/>
        <v>#DIV/0!</v>
      </c>
      <c r="P75" s="109" t="e">
        <f t="shared" si="19"/>
        <v>#DIV/0!</v>
      </c>
      <c r="Q75" s="109" t="e">
        <f t="shared" si="19"/>
        <v>#DIV/0!</v>
      </c>
      <c r="R75" s="109" t="e">
        <f t="shared" si="19"/>
        <v>#DIV/0!</v>
      </c>
      <c r="S75" s="109" t="e">
        <f t="shared" si="19"/>
        <v>#DIV/0!</v>
      </c>
      <c r="T75" s="109" t="e">
        <f t="shared" si="19"/>
        <v>#DIV/0!</v>
      </c>
      <c r="U75" s="109" t="e">
        <f t="shared" si="21"/>
        <v>#DIV/0!</v>
      </c>
      <c r="V75" s="109" t="e">
        <f t="shared" si="21"/>
        <v>#DIV/0!</v>
      </c>
      <c r="W75" s="109" t="e">
        <f t="shared" si="21"/>
        <v>#DIV/0!</v>
      </c>
      <c r="X75" s="109" t="e">
        <f t="shared" si="21"/>
        <v>#DIV/0!</v>
      </c>
      <c r="Y75" s="109" t="e">
        <f t="shared" ref="Y75:AD75" si="25">Y59/$K59</f>
        <v>#DIV/0!</v>
      </c>
      <c r="Z75" s="109" t="e">
        <f t="shared" si="25"/>
        <v>#DIV/0!</v>
      </c>
      <c r="AA75" s="109" t="e">
        <f t="shared" si="25"/>
        <v>#DIV/0!</v>
      </c>
      <c r="AB75" s="109" t="e">
        <f t="shared" si="25"/>
        <v>#DIV/0!</v>
      </c>
      <c r="AC75" s="109" t="e">
        <f t="shared" si="25"/>
        <v>#DIV/0!</v>
      </c>
      <c r="AD75" s="109" t="e">
        <f t="shared" si="25"/>
        <v>#DIV/0!</v>
      </c>
    </row>
    <row r="76" spans="1:30" ht="14.25" hidden="1" x14ac:dyDescent="0.15">
      <c r="A76" s="48"/>
      <c r="B76" s="48"/>
      <c r="C76" s="48"/>
      <c r="D76" s="48"/>
      <c r="E76" s="48"/>
      <c r="G76" s="48"/>
      <c r="H76" s="117"/>
      <c r="I76" s="117"/>
      <c r="J76" s="48"/>
      <c r="K76" s="129"/>
      <c r="L76" s="109" t="e">
        <f>L60/$K60</f>
        <v>#DIV/0!</v>
      </c>
      <c r="M76" s="109" t="e">
        <f t="shared" si="13"/>
        <v>#DIV/0!</v>
      </c>
      <c r="N76" s="109" t="e">
        <f t="shared" si="13"/>
        <v>#DIV/0!</v>
      </c>
      <c r="O76" s="109" t="e">
        <f t="shared" si="13"/>
        <v>#DIV/0!</v>
      </c>
      <c r="P76" s="109" t="e">
        <f t="shared" si="19"/>
        <v>#DIV/0!</v>
      </c>
      <c r="Q76" s="109" t="e">
        <f t="shared" si="19"/>
        <v>#DIV/0!</v>
      </c>
      <c r="R76" s="109" t="e">
        <f t="shared" si="19"/>
        <v>#DIV/0!</v>
      </c>
      <c r="S76" s="109" t="e">
        <f t="shared" si="19"/>
        <v>#DIV/0!</v>
      </c>
      <c r="T76" s="109" t="e">
        <f t="shared" si="19"/>
        <v>#DIV/0!</v>
      </c>
      <c r="U76" s="109" t="e">
        <f t="shared" si="21"/>
        <v>#DIV/0!</v>
      </c>
      <c r="V76" s="109" t="e">
        <f t="shared" si="21"/>
        <v>#DIV/0!</v>
      </c>
      <c r="W76" s="109" t="e">
        <f t="shared" si="21"/>
        <v>#DIV/0!</v>
      </c>
      <c r="X76" s="109" t="e">
        <f t="shared" si="21"/>
        <v>#DIV/0!</v>
      </c>
      <c r="Y76" s="109" t="e">
        <f t="shared" si="21"/>
        <v>#DIV/0!</v>
      </c>
      <c r="Z76" s="109" t="e">
        <f t="shared" si="21"/>
        <v>#DIV/0!</v>
      </c>
      <c r="AA76" s="109" t="e">
        <f t="shared" si="21"/>
        <v>#DIV/0!</v>
      </c>
      <c r="AB76" s="109" t="e">
        <f>AB60/$K60</f>
        <v>#DIV/0!</v>
      </c>
      <c r="AC76" s="109" t="e">
        <f>AC60/$K60</f>
        <v>#DIV/0!</v>
      </c>
      <c r="AD76" s="109" t="e">
        <f>AD60/$K60</f>
        <v>#DIV/0!</v>
      </c>
    </row>
    <row r="77" spans="1:30" ht="14.25" hidden="1" x14ac:dyDescent="0.15">
      <c r="A77" s="48"/>
      <c r="B77" s="48"/>
      <c r="C77" s="72"/>
      <c r="D77" s="73" t="s">
        <v>50</v>
      </c>
      <c r="E77" s="71">
        <f>E73/E71</f>
        <v>379.81340065386922</v>
      </c>
      <c r="G77" s="48"/>
      <c r="H77" s="117"/>
      <c r="I77" s="117"/>
      <c r="J77" s="48"/>
      <c r="K77" s="129"/>
      <c r="L77" s="109" t="e">
        <f>L61/$K61</f>
        <v>#DIV/0!</v>
      </c>
      <c r="M77" s="109" t="e">
        <f t="shared" si="13"/>
        <v>#DIV/0!</v>
      </c>
      <c r="N77" s="109" t="e">
        <f t="shared" si="13"/>
        <v>#DIV/0!</v>
      </c>
      <c r="O77" s="109" t="e">
        <f t="shared" si="13"/>
        <v>#DIV/0!</v>
      </c>
      <c r="P77" s="109" t="e">
        <f t="shared" si="19"/>
        <v>#DIV/0!</v>
      </c>
      <c r="Q77" s="109" t="e">
        <f t="shared" si="19"/>
        <v>#DIV/0!</v>
      </c>
      <c r="R77" s="109" t="e">
        <f t="shared" si="19"/>
        <v>#DIV/0!</v>
      </c>
      <c r="S77" s="109" t="e">
        <f t="shared" si="19"/>
        <v>#DIV/0!</v>
      </c>
      <c r="T77" s="109" t="e">
        <f t="shared" si="19"/>
        <v>#DIV/0!</v>
      </c>
      <c r="U77" s="109" t="e">
        <f t="shared" si="21"/>
        <v>#DIV/0!</v>
      </c>
      <c r="V77" s="109" t="e">
        <f t="shared" si="21"/>
        <v>#DIV/0!</v>
      </c>
      <c r="W77" s="109" t="e">
        <f t="shared" si="21"/>
        <v>#DIV/0!</v>
      </c>
      <c r="X77" s="109" t="e">
        <f t="shared" si="21"/>
        <v>#DIV/0!</v>
      </c>
      <c r="Y77" s="109" t="e">
        <f t="shared" si="21"/>
        <v>#DIV/0!</v>
      </c>
      <c r="Z77" s="109" t="e">
        <f t="shared" si="21"/>
        <v>#DIV/0!</v>
      </c>
      <c r="AA77" s="109" t="e">
        <f t="shared" si="21"/>
        <v>#DIV/0!</v>
      </c>
      <c r="AB77" s="109" t="e">
        <f t="shared" ref="AB77:AD77" si="26">AB61/$K61</f>
        <v>#DIV/0!</v>
      </c>
      <c r="AC77" s="109" t="e">
        <f t="shared" si="26"/>
        <v>#DIV/0!</v>
      </c>
      <c r="AD77" s="109" t="e">
        <f t="shared" si="26"/>
        <v>#DIV/0!</v>
      </c>
    </row>
    <row r="78" spans="1:30" ht="14.25" hidden="1" x14ac:dyDescent="0.15">
      <c r="A78" s="48"/>
      <c r="B78" s="48"/>
      <c r="C78" s="31"/>
      <c r="G78" s="48"/>
      <c r="H78" s="117"/>
      <c r="I78" s="117"/>
      <c r="J78" s="48"/>
      <c r="K78" s="129"/>
      <c r="L78" s="109" t="e">
        <f>L62/$K62</f>
        <v>#DIV/0!</v>
      </c>
      <c r="M78" s="109" t="e">
        <f t="shared" si="13"/>
        <v>#DIV/0!</v>
      </c>
      <c r="N78" s="109" t="e">
        <f t="shared" si="13"/>
        <v>#DIV/0!</v>
      </c>
      <c r="O78" s="109" t="e">
        <f t="shared" si="13"/>
        <v>#DIV/0!</v>
      </c>
      <c r="P78" s="113" t="e">
        <f t="shared" si="19"/>
        <v>#DIV/0!</v>
      </c>
      <c r="Q78" s="109" t="e">
        <f t="shared" si="19"/>
        <v>#DIV/0!</v>
      </c>
      <c r="R78" s="109" t="e">
        <f t="shared" si="19"/>
        <v>#DIV/0!</v>
      </c>
      <c r="S78" s="109" t="e">
        <f t="shared" si="19"/>
        <v>#DIV/0!</v>
      </c>
      <c r="T78" s="109" t="e">
        <f t="shared" si="19"/>
        <v>#DIV/0!</v>
      </c>
      <c r="U78" s="109" t="e">
        <f t="shared" si="21"/>
        <v>#DIV/0!</v>
      </c>
      <c r="V78" s="109" t="e">
        <f t="shared" si="21"/>
        <v>#DIV/0!</v>
      </c>
      <c r="W78" s="109" t="e">
        <f t="shared" si="21"/>
        <v>#DIV/0!</v>
      </c>
      <c r="X78" s="109" t="e">
        <f t="shared" si="21"/>
        <v>#DIV/0!</v>
      </c>
      <c r="Y78" s="109" t="e">
        <f t="shared" si="21"/>
        <v>#DIV/0!</v>
      </c>
      <c r="Z78" s="109" t="e">
        <f t="shared" si="21"/>
        <v>#DIV/0!</v>
      </c>
      <c r="AA78" s="109" t="e">
        <f t="shared" si="21"/>
        <v>#DIV/0!</v>
      </c>
      <c r="AB78" s="109" t="e">
        <f t="shared" ref="AB78:AD78" si="27">AB62/$K62</f>
        <v>#DIV/0!</v>
      </c>
      <c r="AC78" s="109" t="e">
        <f t="shared" si="27"/>
        <v>#DIV/0!</v>
      </c>
      <c r="AD78" s="109" t="e">
        <f t="shared" si="27"/>
        <v>#DIV/0!</v>
      </c>
    </row>
    <row r="79" spans="1:30" ht="14.25" hidden="1" x14ac:dyDescent="0.15">
      <c r="A79" s="48"/>
      <c r="B79" s="48"/>
      <c r="C79" s="31"/>
      <c r="G79" s="48"/>
      <c r="H79" s="117"/>
      <c r="I79" s="117"/>
      <c r="J79" s="48"/>
      <c r="K79" s="129"/>
      <c r="L79" s="109" t="e">
        <f>L63/$K63</f>
        <v>#DIV/0!</v>
      </c>
      <c r="M79" s="109" t="e">
        <f t="shared" si="13"/>
        <v>#DIV/0!</v>
      </c>
      <c r="N79" s="109" t="e">
        <f t="shared" si="13"/>
        <v>#DIV/0!</v>
      </c>
      <c r="O79" s="109" t="e">
        <f t="shared" si="13"/>
        <v>#DIV/0!</v>
      </c>
      <c r="P79" s="109" t="e">
        <f t="shared" si="19"/>
        <v>#DIV/0!</v>
      </c>
      <c r="Q79" s="109" t="e">
        <f t="shared" si="19"/>
        <v>#DIV/0!</v>
      </c>
      <c r="R79" s="109" t="e">
        <f t="shared" si="19"/>
        <v>#DIV/0!</v>
      </c>
      <c r="S79" s="109" t="e">
        <f t="shared" si="19"/>
        <v>#DIV/0!</v>
      </c>
      <c r="T79" s="109" t="e">
        <f t="shared" si="19"/>
        <v>#DIV/0!</v>
      </c>
      <c r="U79" s="109" t="e">
        <f t="shared" si="21"/>
        <v>#DIV/0!</v>
      </c>
      <c r="V79" s="109" t="e">
        <f t="shared" si="21"/>
        <v>#DIV/0!</v>
      </c>
      <c r="W79" s="109" t="e">
        <f t="shared" si="21"/>
        <v>#DIV/0!</v>
      </c>
      <c r="X79" s="109" t="e">
        <f t="shared" si="21"/>
        <v>#DIV/0!</v>
      </c>
      <c r="Y79" s="109" t="e">
        <f t="shared" si="21"/>
        <v>#DIV/0!</v>
      </c>
      <c r="Z79" s="109" t="e">
        <f t="shared" si="21"/>
        <v>#DIV/0!</v>
      </c>
      <c r="AA79" s="109" t="e">
        <f t="shared" si="21"/>
        <v>#DIV/0!</v>
      </c>
      <c r="AB79" s="109" t="e">
        <f t="shared" ref="AB79:AD79" si="28">AB63/$K63</f>
        <v>#DIV/0!</v>
      </c>
      <c r="AC79" s="109" t="e">
        <f t="shared" si="28"/>
        <v>#DIV/0!</v>
      </c>
      <c r="AD79" s="109" t="e">
        <f t="shared" si="28"/>
        <v>#DIV/0!</v>
      </c>
    </row>
    <row r="80" spans="1:30" ht="14.25" hidden="1" x14ac:dyDescent="0.15">
      <c r="G80" s="48"/>
      <c r="H80" s="48"/>
      <c r="I80" s="48"/>
      <c r="J80" s="48"/>
      <c r="K80" s="48"/>
      <c r="L80" s="48"/>
      <c r="M80" s="48"/>
      <c r="N80" s="48"/>
      <c r="O80" s="48"/>
      <c r="P80" s="48"/>
      <c r="Q80" s="48"/>
      <c r="R80" s="48"/>
      <c r="S80" s="48"/>
      <c r="T80" s="48"/>
      <c r="U80" s="48"/>
      <c r="V80" s="48"/>
      <c r="W80" s="48"/>
    </row>
    <row r="81" spans="1:26" ht="14.25" hidden="1" x14ac:dyDescent="0.15">
      <c r="G81" s="48"/>
      <c r="H81" s="48"/>
      <c r="I81" s="48"/>
      <c r="J81" s="48"/>
      <c r="K81" s="48"/>
      <c r="L81" s="48"/>
      <c r="M81" s="48"/>
      <c r="N81" s="48"/>
      <c r="O81" s="48"/>
      <c r="P81" s="66">
        <v>0.92</v>
      </c>
      <c r="Q81" s="66">
        <v>1.08</v>
      </c>
      <c r="R81" s="48"/>
      <c r="S81" s="48"/>
      <c r="T81" s="48"/>
      <c r="U81" s="48"/>
      <c r="V81" s="48"/>
      <c r="W81" s="48"/>
    </row>
    <row r="82" spans="1:26" ht="15" hidden="1" x14ac:dyDescent="0.15">
      <c r="A82" s="48"/>
      <c r="B82" s="66"/>
      <c r="C82" s="72"/>
      <c r="G82" s="48"/>
      <c r="H82" s="48" t="s">
        <v>51</v>
      </c>
      <c r="I82" s="48"/>
      <c r="J82" s="48"/>
      <c r="K82" s="62" t="str">
        <f>HLOOKUP(Simulator!$C$6,Calculation!L$65:AD$79,2,FALSE)</f>
        <v>5000K Natural</v>
      </c>
      <c r="L82" s="62" t="s">
        <v>52</v>
      </c>
      <c r="M82" s="62" t="s">
        <v>53</v>
      </c>
      <c r="N82" s="74" t="s">
        <v>54</v>
      </c>
      <c r="O82" s="62" t="s">
        <v>74</v>
      </c>
      <c r="P82" s="62" t="s">
        <v>71</v>
      </c>
      <c r="Q82" s="62" t="s">
        <v>73</v>
      </c>
      <c r="R82" s="76" t="s">
        <v>55</v>
      </c>
      <c r="S82" s="74" t="s">
        <v>32</v>
      </c>
      <c r="T82" s="74"/>
      <c r="U82" s="74" t="s">
        <v>26</v>
      </c>
      <c r="V82" s="62" t="s">
        <v>91</v>
      </c>
      <c r="W82" s="62" t="s">
        <v>101</v>
      </c>
      <c r="X82" s="74" t="s">
        <v>57</v>
      </c>
      <c r="Y82" s="62" t="s">
        <v>56</v>
      </c>
      <c r="Z82" s="62" t="s">
        <v>91</v>
      </c>
    </row>
    <row r="83" spans="1:26" ht="15" hidden="1" x14ac:dyDescent="0.15">
      <c r="A83" s="48"/>
      <c r="B83" s="66"/>
      <c r="C83" s="72"/>
      <c r="G83" s="48"/>
      <c r="H83" s="55">
        <f>K83/G67</f>
        <v>62.376632549369575</v>
      </c>
      <c r="I83" s="48"/>
      <c r="J83" s="48" t="str">
        <f t="shared" ref="J83:J95" si="29">J67</f>
        <v>CLU701-0303C4</v>
      </c>
      <c r="K83" s="54">
        <f>HLOOKUP(Simulator!$C$6,Calculation!L$65:AD$79,3,FALSE)</f>
        <v>561.38969294432616</v>
      </c>
      <c r="L83" s="70">
        <f>IF(K83=0,FALSE,E$77/K83)</f>
        <v>0.67655926966143265</v>
      </c>
      <c r="M83" s="55">
        <f>C$66*$L83^3+C$67*$L83^2+C$68*$L83+C$69</f>
        <v>111.92608282332944</v>
      </c>
      <c r="N83" s="77">
        <f t="shared" ref="N83:N95" si="30">M83*I67</f>
        <v>335.77824846998828</v>
      </c>
      <c r="O83" s="78">
        <f>(D$66*$M83^2+D$67*$M83+D$68)*K67</f>
        <v>9.2004001572594856</v>
      </c>
      <c r="P83" s="78">
        <f>O83*$P$81</f>
        <v>8.4643681446787262</v>
      </c>
      <c r="Q83" s="78">
        <f>O83*$Q$81</f>
        <v>9.9364321698402449</v>
      </c>
      <c r="R83" s="79">
        <f t="shared" ref="R83:R93" si="31" xml:space="preserve"> (F$66*$E$75^2+F$67*$E$75+F$68)*O83</f>
        <v>8.9296753960787374</v>
      </c>
      <c r="S83" s="80">
        <f>N83*R83/1000</f>
        <v>2.9983907639008671</v>
      </c>
      <c r="T83" s="80"/>
      <c r="U83" s="80">
        <f t="shared" ref="U83:U95" si="32">E$73/S83</f>
        <v>116.72928165795661</v>
      </c>
      <c r="V83" s="143">
        <v>3.5</v>
      </c>
      <c r="W83" s="55">
        <f>S83*V83</f>
        <v>10.494367673653034</v>
      </c>
      <c r="X83" s="80">
        <f>E$75+W83</f>
        <v>77.947703767015767</v>
      </c>
      <c r="Y83" s="129">
        <v>5.3</v>
      </c>
      <c r="Z83" s="145">
        <f>Y83*0.65</f>
        <v>3.4449999999999998</v>
      </c>
    </row>
    <row r="84" spans="1:26" ht="15" hidden="1" x14ac:dyDescent="0.15">
      <c r="A84" s="57"/>
      <c r="B84" s="57"/>
      <c r="C84" s="57"/>
      <c r="D84" s="62"/>
      <c r="E84" s="62"/>
      <c r="F84" s="62"/>
      <c r="H84" s="55">
        <f t="shared" ref="H84:H95" si="33">K84/G68</f>
        <v>0</v>
      </c>
      <c r="I84" s="48"/>
      <c r="J84" s="48" t="str">
        <f t="shared" si="29"/>
        <v>CLU701-0304C4</v>
      </c>
      <c r="K84" s="54">
        <f>HLOOKUP(Simulator!$C$6,Calculation!L$65:AD$79,4,FALSE)</f>
        <v>0</v>
      </c>
      <c r="L84" s="70" t="b">
        <f t="shared" ref="L84:L95" si="34">IF(K84=0,FALSE,E$77/K84)</f>
        <v>0</v>
      </c>
      <c r="M84" s="55">
        <f>C$66*$L84^3+C$67*$L84^2+C$68*$L84+C$69</f>
        <v>0.151560797680589</v>
      </c>
      <c r="N84" s="77">
        <f t="shared" si="30"/>
        <v>0.606243190722356</v>
      </c>
      <c r="O84" s="78">
        <f t="shared" ref="O84:O95" si="35">(D$66*$M84^2+D$67*$M84+D$68)*K68</f>
        <v>8.0385211656994464</v>
      </c>
      <c r="P84" s="78">
        <f t="shared" ref="P84:P95" si="36">O84*$P$81</f>
        <v>7.3954394724434911</v>
      </c>
      <c r="Q84" s="78">
        <f t="shared" ref="Q84:Q95" si="37">O84*$Q$81</f>
        <v>8.6816028589554026</v>
      </c>
      <c r="R84" s="79">
        <f t="shared" si="31"/>
        <v>7.8019850710043421</v>
      </c>
      <c r="S84" s="80">
        <f t="shared" ref="S84:S94" si="38">N84*R84/1000</f>
        <v>4.7299003234138595E-3</v>
      </c>
      <c r="T84" s="80"/>
      <c r="U84" s="80">
        <f t="shared" si="32"/>
        <v>73997.33103622435</v>
      </c>
      <c r="V84" s="143">
        <v>2.7</v>
      </c>
      <c r="W84" s="55">
        <f>S84*V84</f>
        <v>1.2770730873217421E-2</v>
      </c>
      <c r="X84" s="80">
        <f t="shared" ref="X84:X95" si="39">E$75+W84</f>
        <v>67.466106824235951</v>
      </c>
      <c r="Y84" s="129">
        <v>4.2</v>
      </c>
      <c r="Z84" s="145">
        <f t="shared" ref="Z84:Z88" si="40">Y84*0.65</f>
        <v>2.7300000000000004</v>
      </c>
    </row>
    <row r="85" spans="1:26" ht="15" hidden="1" x14ac:dyDescent="0.15">
      <c r="A85" s="62"/>
      <c r="B85" s="81"/>
      <c r="C85" s="81"/>
      <c r="D85" s="81"/>
      <c r="E85" s="81"/>
      <c r="F85" s="81"/>
      <c r="H85" s="55">
        <f t="shared" si="33"/>
        <v>58.274227353113119</v>
      </c>
      <c r="I85" s="48"/>
      <c r="J85" s="48" t="str">
        <f t="shared" si="29"/>
        <v>CLU701-1002C4</v>
      </c>
      <c r="K85" s="54">
        <f>HLOOKUP(Simulator!$C$6,Calculation!L$65:AD$79,5,FALSE)</f>
        <v>1165.4845470622624</v>
      </c>
      <c r="L85" s="70">
        <f t="shared" si="34"/>
        <v>0.32588454442509124</v>
      </c>
      <c r="M85" s="55">
        <f>C$66*$L85^3+C$67*$L85^2+C$68*$L85+C$69</f>
        <v>50.623889333055942</v>
      </c>
      <c r="N85" s="77">
        <f t="shared" si="30"/>
        <v>101.24777866611188</v>
      </c>
      <c r="O85" s="78">
        <f t="shared" si="35"/>
        <v>28.700804011867785</v>
      </c>
      <c r="P85" s="78">
        <f t="shared" si="36"/>
        <v>26.404739690918362</v>
      </c>
      <c r="Q85" s="78">
        <f t="shared" si="37"/>
        <v>30.996868332817211</v>
      </c>
      <c r="R85" s="79">
        <f t="shared" si="31"/>
        <v>27.856273537214729</v>
      </c>
      <c r="S85" s="80">
        <f t="shared" si="38"/>
        <v>2.8203858175585865</v>
      </c>
      <c r="T85" s="80"/>
      <c r="U85" s="80">
        <f t="shared" si="32"/>
        <v>124.0964969477016</v>
      </c>
      <c r="V85" s="143">
        <v>1.6</v>
      </c>
      <c r="W85" s="55">
        <f t="shared" ref="W85:W93" si="41">S85*V85</f>
        <v>4.5126173080937386</v>
      </c>
      <c r="X85" s="80">
        <f t="shared" si="39"/>
        <v>71.965953401456474</v>
      </c>
      <c r="Y85" s="129">
        <v>2.5</v>
      </c>
      <c r="Z85" s="145">
        <f t="shared" si="40"/>
        <v>1.625</v>
      </c>
    </row>
    <row r="86" spans="1:26" ht="15" hidden="1" x14ac:dyDescent="0.15">
      <c r="A86" s="62"/>
      <c r="B86" s="81"/>
      <c r="C86" s="81"/>
      <c r="D86" s="81"/>
      <c r="E86" s="81"/>
      <c r="F86" s="81"/>
      <c r="H86" s="55">
        <f t="shared" si="33"/>
        <v>58.084867793970538</v>
      </c>
      <c r="I86" s="48"/>
      <c r="J86" s="48" t="str">
        <f t="shared" si="29"/>
        <v>CLU711-1204C4</v>
      </c>
      <c r="K86" s="54">
        <f>HLOOKUP(Simulator!$C$6,Calculation!L$65:AD$79,6,FALSE)</f>
        <v>2788.0736541105857</v>
      </c>
      <c r="L86" s="70">
        <f t="shared" si="34"/>
        <v>0.13622789343957711</v>
      </c>
      <c r="M86" s="55">
        <f t="shared" ref="M86:M95" si="42">C$66*$L86^3+C$67*$L86^2+C$68*$L86+C$69</f>
        <v>20.504320965004901</v>
      </c>
      <c r="N86" s="77">
        <f t="shared" si="30"/>
        <v>82.017283860019603</v>
      </c>
      <c r="O86" s="78">
        <f t="shared" si="35"/>
        <v>32.986748047212252</v>
      </c>
      <c r="P86" s="78">
        <f t="shared" si="36"/>
        <v>30.347808203435275</v>
      </c>
      <c r="Q86" s="78">
        <f t="shared" si="37"/>
        <v>35.625687890989234</v>
      </c>
      <c r="R86" s="79">
        <f t="shared" si="31"/>
        <v>32.016102278053538</v>
      </c>
      <c r="S86" s="80">
        <f t="shared" si="38"/>
        <v>2.625873748630537</v>
      </c>
      <c r="T86" s="80"/>
      <c r="U86" s="80">
        <f t="shared" si="32"/>
        <v>133.28896721806763</v>
      </c>
      <c r="V86" s="144">
        <v>0.91</v>
      </c>
      <c r="W86" s="55">
        <f t="shared" si="41"/>
        <v>2.3895451112537889</v>
      </c>
      <c r="X86" s="80">
        <f t="shared" si="39"/>
        <v>69.842881204616532</v>
      </c>
      <c r="Y86" s="129">
        <v>1.4</v>
      </c>
      <c r="Z86" s="145">
        <f t="shared" si="40"/>
        <v>0.90999999999999992</v>
      </c>
    </row>
    <row r="87" spans="1:26" ht="15" hidden="1" x14ac:dyDescent="0.15">
      <c r="A87" s="62"/>
      <c r="B87" s="81"/>
      <c r="C87" s="81"/>
      <c r="D87" s="81"/>
      <c r="E87" s="81"/>
      <c r="F87" s="81"/>
      <c r="H87" s="55">
        <f t="shared" si="33"/>
        <v>57.523236083028756</v>
      </c>
      <c r="I87" s="48"/>
      <c r="J87" s="48" t="str">
        <f t="shared" si="29"/>
        <v>CLU721-1206C4</v>
      </c>
      <c r="K87" s="54">
        <f>HLOOKUP(Simulator!$C$6,Calculation!L$65:AD$79,7,FALSE)</f>
        <v>4141.6729979780703</v>
      </c>
      <c r="L87" s="70">
        <f t="shared" si="34"/>
        <v>9.170530866132863E-2</v>
      </c>
      <c r="M87" s="55">
        <f t="shared" si="42"/>
        <v>13.735712725779862</v>
      </c>
      <c r="N87" s="77">
        <f t="shared" si="30"/>
        <v>82.414276354679174</v>
      </c>
      <c r="O87" s="78">
        <f t="shared" si="35"/>
        <v>32.680421966487657</v>
      </c>
      <c r="P87" s="78">
        <f t="shared" si="36"/>
        <v>30.065988209168644</v>
      </c>
      <c r="Q87" s="78">
        <f t="shared" si="37"/>
        <v>35.29485572380667</v>
      </c>
      <c r="R87" s="79">
        <f t="shared" si="31"/>
        <v>31.718789941691156</v>
      </c>
      <c r="S87" s="80">
        <f t="shared" si="38"/>
        <v>2.6140811198905531</v>
      </c>
      <c r="T87" s="80"/>
      <c r="U87" s="80">
        <f t="shared" si="32"/>
        <v>133.89025969272669</v>
      </c>
      <c r="V87" s="144">
        <v>0.6</v>
      </c>
      <c r="W87" s="55">
        <f t="shared" si="41"/>
        <v>1.5684486719343318</v>
      </c>
      <c r="X87" s="80">
        <f t="shared" si="39"/>
        <v>69.02178476529707</v>
      </c>
      <c r="Y87" s="117">
        <v>0.92</v>
      </c>
      <c r="Z87" s="145">
        <f t="shared" si="40"/>
        <v>0.59800000000000009</v>
      </c>
    </row>
    <row r="88" spans="1:26" ht="15" hidden="1" x14ac:dyDescent="0.15">
      <c r="A88" s="62"/>
      <c r="B88" s="81"/>
      <c r="C88" s="81"/>
      <c r="D88" s="48"/>
      <c r="E88" s="48"/>
      <c r="H88" s="55">
        <f t="shared" si="33"/>
        <v>57.082718044427615</v>
      </c>
      <c r="I88" s="48"/>
      <c r="J88" s="48" t="str">
        <f t="shared" si="29"/>
        <v>CLU731-1210C4</v>
      </c>
      <c r="K88" s="54">
        <f>HLOOKUP(Simulator!$C$6,Calculation!L$65:AD$79,8,FALSE)</f>
        <v>6849.9261653313142</v>
      </c>
      <c r="L88" s="70">
        <f t="shared" si="34"/>
        <v>5.5447809434234767E-2</v>
      </c>
      <c r="M88" s="55">
        <f t="shared" si="42"/>
        <v>8.3076023824833918</v>
      </c>
      <c r="N88" s="77">
        <f t="shared" si="30"/>
        <v>83.076023824833925</v>
      </c>
      <c r="O88" s="78">
        <f t="shared" si="35"/>
        <v>32.34492622677972</v>
      </c>
      <c r="P88" s="78">
        <f t="shared" si="36"/>
        <v>29.757332128637344</v>
      </c>
      <c r="Q88" s="78">
        <f t="shared" si="37"/>
        <v>34.932520324922102</v>
      </c>
      <c r="R88" s="79">
        <f t="shared" si="31"/>
        <v>31.393166273029816</v>
      </c>
      <c r="S88" s="80">
        <f t="shared" si="38"/>
        <v>2.6080194292351981</v>
      </c>
      <c r="T88" s="80"/>
      <c r="U88" s="80">
        <f t="shared" si="32"/>
        <v>134.20145420566806</v>
      </c>
      <c r="V88" s="144">
        <v>0.42</v>
      </c>
      <c r="W88" s="55">
        <f t="shared" si="41"/>
        <v>1.0953681602787833</v>
      </c>
      <c r="X88" s="80">
        <f t="shared" si="39"/>
        <v>68.548704253641517</v>
      </c>
      <c r="Y88" s="117">
        <v>0.65</v>
      </c>
      <c r="Z88" s="145">
        <f t="shared" si="40"/>
        <v>0.42250000000000004</v>
      </c>
    </row>
    <row r="89" spans="1:26" ht="15" hidden="1" x14ac:dyDescent="0.15">
      <c r="A89" s="48"/>
      <c r="B89" s="82"/>
      <c r="C89" s="82"/>
      <c r="D89" s="48"/>
      <c r="E89" s="48"/>
      <c r="H89" s="55" t="e">
        <f t="shared" si="33"/>
        <v>#DIV/0!</v>
      </c>
      <c r="I89" s="48"/>
      <c r="J89" s="48">
        <f t="shared" si="29"/>
        <v>0</v>
      </c>
      <c r="K89" s="54" t="e">
        <f>HLOOKUP(Simulator!$C$6,Calculation!L$65:AD$79,9,FALSE)</f>
        <v>#DIV/0!</v>
      </c>
      <c r="L89" s="70" t="e">
        <f t="shared" si="34"/>
        <v>#DIV/0!</v>
      </c>
      <c r="M89" s="55" t="e">
        <f t="shared" si="42"/>
        <v>#DIV/0!</v>
      </c>
      <c r="N89" s="77" t="e">
        <f t="shared" si="30"/>
        <v>#DIV/0!</v>
      </c>
      <c r="O89" s="78" t="e">
        <f t="shared" si="35"/>
        <v>#DIV/0!</v>
      </c>
      <c r="P89" s="78" t="e">
        <f t="shared" si="36"/>
        <v>#DIV/0!</v>
      </c>
      <c r="Q89" s="78" t="e">
        <f t="shared" si="37"/>
        <v>#DIV/0!</v>
      </c>
      <c r="R89" s="79" t="e">
        <f t="shared" si="31"/>
        <v>#DIV/0!</v>
      </c>
      <c r="S89" s="80" t="e">
        <f t="shared" si="38"/>
        <v>#DIV/0!</v>
      </c>
      <c r="T89" s="80"/>
      <c r="U89" s="80" t="e">
        <f t="shared" si="32"/>
        <v>#DIV/0!</v>
      </c>
      <c r="V89" s="117">
        <f t="shared" ref="V89:V95" si="43">Y89*0.65</f>
        <v>0</v>
      </c>
      <c r="W89" s="55" t="e">
        <f t="shared" si="41"/>
        <v>#DIV/0!</v>
      </c>
      <c r="X89" s="80" t="e">
        <f t="shared" si="39"/>
        <v>#DIV/0!</v>
      </c>
      <c r="Y89" s="117"/>
      <c r="Z89" s="119"/>
    </row>
    <row r="90" spans="1:26" ht="15" hidden="1" x14ac:dyDescent="0.15">
      <c r="A90" s="48"/>
      <c r="B90" s="83"/>
      <c r="C90" s="84"/>
      <c r="D90" s="48"/>
      <c r="E90" s="85"/>
      <c r="H90" s="55" t="e">
        <f t="shared" si="33"/>
        <v>#DIV/0!</v>
      </c>
      <c r="I90" s="48"/>
      <c r="J90" s="48">
        <f t="shared" si="29"/>
        <v>0</v>
      </c>
      <c r="K90" s="54" t="e">
        <f>HLOOKUP(Simulator!$C$6,Calculation!L$65:AD$79,10,FALSE)</f>
        <v>#DIV/0!</v>
      </c>
      <c r="L90" s="70" t="e">
        <f t="shared" si="34"/>
        <v>#DIV/0!</v>
      </c>
      <c r="M90" s="55" t="e">
        <f t="shared" si="42"/>
        <v>#DIV/0!</v>
      </c>
      <c r="N90" s="77" t="e">
        <f t="shared" si="30"/>
        <v>#DIV/0!</v>
      </c>
      <c r="O90" s="78" t="e">
        <f t="shared" si="35"/>
        <v>#DIV/0!</v>
      </c>
      <c r="P90" s="78" t="e">
        <f t="shared" si="36"/>
        <v>#DIV/0!</v>
      </c>
      <c r="Q90" s="78" t="e">
        <f t="shared" si="37"/>
        <v>#DIV/0!</v>
      </c>
      <c r="R90" s="79" t="e">
        <f t="shared" si="31"/>
        <v>#DIV/0!</v>
      </c>
      <c r="S90" s="80" t="e">
        <f t="shared" si="38"/>
        <v>#DIV/0!</v>
      </c>
      <c r="T90" s="80"/>
      <c r="U90" s="80" t="e">
        <f t="shared" si="32"/>
        <v>#DIV/0!</v>
      </c>
      <c r="V90" s="117">
        <f t="shared" si="43"/>
        <v>0</v>
      </c>
      <c r="W90" s="55" t="e">
        <f t="shared" si="41"/>
        <v>#DIV/0!</v>
      </c>
      <c r="X90" s="80" t="e">
        <f t="shared" si="39"/>
        <v>#DIV/0!</v>
      </c>
      <c r="Y90" s="117"/>
      <c r="Z90" s="119"/>
    </row>
    <row r="91" spans="1:26" ht="15" hidden="1" x14ac:dyDescent="0.15">
      <c r="A91" s="48"/>
      <c r="B91" s="48"/>
      <c r="C91" s="48"/>
      <c r="D91" s="48"/>
      <c r="E91" s="48"/>
      <c r="H91" s="55" t="e">
        <f t="shared" si="33"/>
        <v>#DIV/0!</v>
      </c>
      <c r="I91" s="48"/>
      <c r="J91" s="48">
        <f t="shared" si="29"/>
        <v>0</v>
      </c>
      <c r="K91" s="54" t="e">
        <f>HLOOKUP(Simulator!$C$6,Calculation!L$65:AD$79,11,FALSE)</f>
        <v>#DIV/0!</v>
      </c>
      <c r="L91" s="70" t="e">
        <f t="shared" si="34"/>
        <v>#DIV/0!</v>
      </c>
      <c r="M91" s="55" t="e">
        <f t="shared" si="42"/>
        <v>#DIV/0!</v>
      </c>
      <c r="N91" s="77" t="e">
        <f t="shared" si="30"/>
        <v>#DIV/0!</v>
      </c>
      <c r="O91" s="78" t="e">
        <f t="shared" si="35"/>
        <v>#DIV/0!</v>
      </c>
      <c r="P91" s="78" t="e">
        <f t="shared" si="36"/>
        <v>#DIV/0!</v>
      </c>
      <c r="Q91" s="78" t="e">
        <f t="shared" si="37"/>
        <v>#DIV/0!</v>
      </c>
      <c r="R91" s="79" t="e">
        <f t="shared" si="31"/>
        <v>#DIV/0!</v>
      </c>
      <c r="S91" s="80" t="e">
        <f t="shared" si="38"/>
        <v>#DIV/0!</v>
      </c>
      <c r="T91" s="80"/>
      <c r="U91" s="80" t="e">
        <f t="shared" si="32"/>
        <v>#DIV/0!</v>
      </c>
      <c r="V91" s="117">
        <f t="shared" si="43"/>
        <v>0</v>
      </c>
      <c r="W91" s="55" t="e">
        <f t="shared" si="41"/>
        <v>#DIV/0!</v>
      </c>
      <c r="X91" s="80" t="e">
        <f t="shared" si="39"/>
        <v>#DIV/0!</v>
      </c>
      <c r="Y91" s="117"/>
      <c r="Z91" s="119"/>
    </row>
    <row r="92" spans="1:26" ht="15" hidden="1" x14ac:dyDescent="0.15">
      <c r="A92" s="48"/>
      <c r="B92" s="48"/>
      <c r="C92" s="48"/>
      <c r="D92" s="48"/>
      <c r="E92" s="69"/>
      <c r="H92" s="55" t="e">
        <f t="shared" si="33"/>
        <v>#DIV/0!</v>
      </c>
      <c r="I92" s="48"/>
      <c r="J92" s="48">
        <f t="shared" si="29"/>
        <v>0</v>
      </c>
      <c r="K92" s="54" t="e">
        <f>HLOOKUP(Simulator!$C$6,Calculation!L$65:AD$79,12,FALSE)</f>
        <v>#DIV/0!</v>
      </c>
      <c r="L92" s="70" t="e">
        <f t="shared" si="34"/>
        <v>#DIV/0!</v>
      </c>
      <c r="M92" s="55" t="e">
        <f t="shared" si="42"/>
        <v>#DIV/0!</v>
      </c>
      <c r="N92" s="77" t="e">
        <f t="shared" si="30"/>
        <v>#DIV/0!</v>
      </c>
      <c r="O92" s="78" t="e">
        <f t="shared" si="35"/>
        <v>#DIV/0!</v>
      </c>
      <c r="P92" s="78" t="e">
        <f t="shared" si="36"/>
        <v>#DIV/0!</v>
      </c>
      <c r="Q92" s="78" t="e">
        <f t="shared" si="37"/>
        <v>#DIV/0!</v>
      </c>
      <c r="R92" s="79" t="e">
        <f t="shared" si="31"/>
        <v>#DIV/0!</v>
      </c>
      <c r="S92" s="80" t="e">
        <f t="shared" si="38"/>
        <v>#DIV/0!</v>
      </c>
      <c r="T92" s="80"/>
      <c r="U92" s="80" t="e">
        <f t="shared" si="32"/>
        <v>#DIV/0!</v>
      </c>
      <c r="V92" s="117">
        <f t="shared" si="43"/>
        <v>0</v>
      </c>
      <c r="W92" s="55" t="e">
        <f t="shared" si="41"/>
        <v>#DIV/0!</v>
      </c>
      <c r="X92" s="80" t="e">
        <f t="shared" si="39"/>
        <v>#DIV/0!</v>
      </c>
      <c r="Y92" s="117"/>
      <c r="Z92" s="119"/>
    </row>
    <row r="93" spans="1:26" ht="15" hidden="1" x14ac:dyDescent="0.15">
      <c r="A93" s="48"/>
      <c r="B93" s="65"/>
      <c r="C93" s="65"/>
      <c r="D93" s="48"/>
      <c r="E93" s="48"/>
      <c r="H93" s="55" t="e">
        <f t="shared" si="33"/>
        <v>#DIV/0!</v>
      </c>
      <c r="I93" s="48"/>
      <c r="J93" s="48">
        <f t="shared" si="29"/>
        <v>0</v>
      </c>
      <c r="K93" s="54" t="e">
        <f>HLOOKUP(Simulator!$C$6,Calculation!L$65:AD$79,13,FALSE)</f>
        <v>#DIV/0!</v>
      </c>
      <c r="L93" s="70" t="e">
        <f t="shared" si="34"/>
        <v>#DIV/0!</v>
      </c>
      <c r="M93" s="55" t="e">
        <f t="shared" si="42"/>
        <v>#DIV/0!</v>
      </c>
      <c r="N93" s="77" t="e">
        <f t="shared" si="30"/>
        <v>#DIV/0!</v>
      </c>
      <c r="O93" s="78" t="e">
        <f t="shared" si="35"/>
        <v>#DIV/0!</v>
      </c>
      <c r="P93" s="78" t="e">
        <f t="shared" si="36"/>
        <v>#DIV/0!</v>
      </c>
      <c r="Q93" s="78" t="e">
        <f t="shared" si="37"/>
        <v>#DIV/0!</v>
      </c>
      <c r="R93" s="79" t="e">
        <f t="shared" si="31"/>
        <v>#DIV/0!</v>
      </c>
      <c r="S93" s="80" t="e">
        <f t="shared" si="38"/>
        <v>#DIV/0!</v>
      </c>
      <c r="T93" s="80"/>
      <c r="U93" s="80" t="e">
        <f t="shared" si="32"/>
        <v>#DIV/0!</v>
      </c>
      <c r="V93" s="117">
        <f t="shared" si="43"/>
        <v>0</v>
      </c>
      <c r="W93" s="55" t="e">
        <f t="shared" si="41"/>
        <v>#DIV/0!</v>
      </c>
      <c r="X93" s="80" t="e">
        <f t="shared" si="39"/>
        <v>#DIV/0!</v>
      </c>
      <c r="Y93" s="117"/>
      <c r="Z93" s="119"/>
    </row>
    <row r="94" spans="1:26" ht="15" hidden="1" x14ac:dyDescent="0.15">
      <c r="A94" s="48"/>
      <c r="B94" s="55"/>
      <c r="C94" s="86"/>
      <c r="D94" s="48"/>
      <c r="E94" s="87"/>
      <c r="H94" s="55" t="e">
        <f t="shared" si="33"/>
        <v>#DIV/0!</v>
      </c>
      <c r="I94" s="48"/>
      <c r="J94" s="48">
        <f t="shared" si="29"/>
        <v>0</v>
      </c>
      <c r="K94" s="54" t="e">
        <f>HLOOKUP(Simulator!$C$6,Calculation!L$65:AD$79,14,FALSE)</f>
        <v>#DIV/0!</v>
      </c>
      <c r="L94" s="70" t="e">
        <f t="shared" si="34"/>
        <v>#DIV/0!</v>
      </c>
      <c r="M94" s="55" t="e">
        <f t="shared" si="42"/>
        <v>#DIV/0!</v>
      </c>
      <c r="N94" s="77" t="e">
        <f t="shared" si="30"/>
        <v>#DIV/0!</v>
      </c>
      <c r="O94" s="78" t="e">
        <f t="shared" si="35"/>
        <v>#DIV/0!</v>
      </c>
      <c r="P94" s="78" t="e">
        <f t="shared" si="36"/>
        <v>#DIV/0!</v>
      </c>
      <c r="Q94" s="78" t="e">
        <f t="shared" si="37"/>
        <v>#DIV/0!</v>
      </c>
      <c r="R94" s="79" t="e">
        <f xml:space="preserve"> (F$66*$E$75^2+F$67*$E$75+F$68)*O94</f>
        <v>#DIV/0!</v>
      </c>
      <c r="S94" s="80" t="e">
        <f t="shared" si="38"/>
        <v>#DIV/0!</v>
      </c>
      <c r="T94" s="80"/>
      <c r="U94" s="80" t="e">
        <f t="shared" si="32"/>
        <v>#DIV/0!</v>
      </c>
      <c r="V94" s="117">
        <f t="shared" si="43"/>
        <v>0</v>
      </c>
      <c r="W94" s="55" t="e">
        <f>S94*V94</f>
        <v>#DIV/0!</v>
      </c>
      <c r="X94" s="80" t="e">
        <f t="shared" si="39"/>
        <v>#DIV/0!</v>
      </c>
      <c r="Y94" s="117"/>
      <c r="Z94" s="119"/>
    </row>
    <row r="95" spans="1:26" ht="15" hidden="1" x14ac:dyDescent="0.15">
      <c r="A95" s="48"/>
      <c r="B95" s="66"/>
      <c r="C95" s="72"/>
      <c r="D95" s="48"/>
      <c r="E95" s="48"/>
      <c r="F95" s="48"/>
      <c r="G95" s="48"/>
      <c r="H95" s="55" t="e">
        <f t="shared" si="33"/>
        <v>#DIV/0!</v>
      </c>
      <c r="I95" s="48"/>
      <c r="J95" s="48">
        <f t="shared" si="29"/>
        <v>0</v>
      </c>
      <c r="K95" s="54" t="e">
        <f>HLOOKUP(Simulator!$C$6,Calculation!L$65:AD$79,15,FALSE)</f>
        <v>#DIV/0!</v>
      </c>
      <c r="L95" s="70" t="e">
        <f t="shared" si="34"/>
        <v>#DIV/0!</v>
      </c>
      <c r="M95" s="55" t="e">
        <f t="shared" si="42"/>
        <v>#DIV/0!</v>
      </c>
      <c r="N95" s="77" t="e">
        <f t="shared" si="30"/>
        <v>#DIV/0!</v>
      </c>
      <c r="O95" s="78" t="e">
        <f t="shared" si="35"/>
        <v>#DIV/0!</v>
      </c>
      <c r="P95" s="78" t="e">
        <f t="shared" si="36"/>
        <v>#DIV/0!</v>
      </c>
      <c r="Q95" s="78" t="e">
        <f t="shared" si="37"/>
        <v>#DIV/0!</v>
      </c>
      <c r="R95" s="79" t="e">
        <f xml:space="preserve"> (F$66*$E$75^2+F$67*$E$75+F$68)*O95</f>
        <v>#DIV/0!</v>
      </c>
      <c r="S95" s="80" t="e">
        <f>N95*R95/1000</f>
        <v>#DIV/0!</v>
      </c>
      <c r="T95" s="80"/>
      <c r="U95" s="80" t="e">
        <f t="shared" si="32"/>
        <v>#DIV/0!</v>
      </c>
      <c r="V95" s="117">
        <f t="shared" si="43"/>
        <v>0</v>
      </c>
      <c r="W95" s="55" t="e">
        <f>S95*V95</f>
        <v>#DIV/0!</v>
      </c>
      <c r="X95" s="80" t="e">
        <f t="shared" si="39"/>
        <v>#DIV/0!</v>
      </c>
      <c r="Y95" s="119"/>
      <c r="Z95" s="119"/>
    </row>
    <row r="96" spans="1:26" ht="15" hidden="1" x14ac:dyDescent="0.15">
      <c r="A96" s="48"/>
      <c r="B96" s="66"/>
      <c r="C96" s="72"/>
      <c r="D96" s="73"/>
      <c r="E96" s="88"/>
      <c r="F96" s="48"/>
      <c r="G96" s="48"/>
      <c r="H96" s="48"/>
      <c r="I96" s="48"/>
      <c r="J96" s="48"/>
      <c r="K96" s="48"/>
      <c r="L96" s="48"/>
      <c r="M96" s="48"/>
      <c r="N96" s="48"/>
      <c r="O96" s="78"/>
      <c r="P96" s="74"/>
      <c r="Q96" s="53"/>
      <c r="R96" s="53"/>
      <c r="S96" s="53"/>
      <c r="T96" s="53"/>
      <c r="U96" s="48"/>
      <c r="V96" s="48"/>
      <c r="W96" s="48"/>
    </row>
    <row r="97" spans="1:23" ht="15" hidden="1" x14ac:dyDescent="0.15">
      <c r="A97" s="48"/>
      <c r="B97" s="48"/>
      <c r="C97" s="48"/>
      <c r="D97" s="48"/>
      <c r="E97" s="48"/>
      <c r="F97" s="48"/>
      <c r="G97" s="48"/>
      <c r="H97" s="48"/>
      <c r="I97" s="48"/>
      <c r="J97" s="48"/>
      <c r="K97" s="48"/>
      <c r="L97" s="48"/>
      <c r="M97" s="48"/>
      <c r="N97" s="48"/>
      <c r="O97" s="78"/>
      <c r="P97" s="74" t="s">
        <v>64</v>
      </c>
      <c r="Q97" s="74" t="s">
        <v>5</v>
      </c>
      <c r="R97" s="74"/>
      <c r="S97" s="74"/>
      <c r="T97" s="74"/>
      <c r="U97" s="48"/>
      <c r="V97" s="48"/>
      <c r="W97" s="48"/>
    </row>
    <row r="98" spans="1:23" ht="15" hidden="1" x14ac:dyDescent="0.15">
      <c r="A98" s="48"/>
      <c r="C98" s="89"/>
      <c r="D98" s="89"/>
      <c r="E98" s="89"/>
      <c r="F98" s="89"/>
      <c r="G98" s="48"/>
      <c r="H98" s="48"/>
      <c r="I98" s="48"/>
      <c r="J98" s="48"/>
      <c r="K98" s="55"/>
      <c r="L98" s="55"/>
      <c r="M98" s="55"/>
      <c r="N98" s="48"/>
      <c r="O98" s="78"/>
      <c r="P98" s="53"/>
      <c r="Q98" s="90">
        <f>C50</f>
        <v>5</v>
      </c>
      <c r="R98" s="90"/>
      <c r="S98" s="53"/>
      <c r="T98" s="53"/>
      <c r="U98" s="48"/>
      <c r="V98" s="48"/>
      <c r="W98" s="48"/>
    </row>
    <row r="99" spans="1:23" ht="15" hidden="1" x14ac:dyDescent="0.15">
      <c r="A99" s="48"/>
      <c r="B99" s="48"/>
      <c r="C99" s="48"/>
      <c r="D99" s="48"/>
      <c r="E99" s="48"/>
      <c r="F99" s="48"/>
      <c r="G99" s="48"/>
      <c r="H99" s="48"/>
      <c r="I99" s="48"/>
      <c r="J99" s="48"/>
      <c r="K99" s="55"/>
      <c r="L99" s="55"/>
      <c r="M99" s="55"/>
      <c r="N99" s="48"/>
      <c r="O99" s="78"/>
      <c r="P99" s="53"/>
      <c r="Q99" s="53"/>
      <c r="R99" s="53"/>
      <c r="S99" s="53"/>
      <c r="T99" s="53"/>
      <c r="U99" s="48"/>
      <c r="V99" s="48"/>
      <c r="W99" s="48"/>
    </row>
    <row r="100" spans="1:23" ht="15" hidden="1" x14ac:dyDescent="0.15">
      <c r="A100" s="48"/>
      <c r="B100" s="48"/>
      <c r="C100" s="48"/>
      <c r="D100" s="48"/>
      <c r="E100" s="48"/>
      <c r="F100" s="48"/>
      <c r="G100" s="48"/>
      <c r="H100" s="48"/>
      <c r="I100" s="48"/>
      <c r="J100" s="48"/>
      <c r="K100" s="55"/>
      <c r="L100" s="55"/>
      <c r="M100" s="55"/>
      <c r="N100" s="48"/>
      <c r="O100" s="78"/>
      <c r="P100" s="74" t="s">
        <v>65</v>
      </c>
      <c r="Q100" s="74" t="s">
        <v>4</v>
      </c>
      <c r="R100" s="74"/>
      <c r="S100" s="74" t="s">
        <v>5</v>
      </c>
      <c r="T100" s="53"/>
      <c r="U100" s="48"/>
      <c r="V100" s="48"/>
      <c r="W100" s="48"/>
    </row>
    <row r="101" spans="1:23" ht="15" hidden="1" x14ac:dyDescent="0.15">
      <c r="A101" s="48"/>
      <c r="B101" s="48"/>
      <c r="C101" s="48"/>
      <c r="D101" s="48"/>
      <c r="E101" s="48"/>
      <c r="F101" s="48"/>
      <c r="G101" s="48"/>
      <c r="H101" s="48"/>
      <c r="I101" s="48"/>
      <c r="J101" s="48"/>
      <c r="K101" s="55"/>
      <c r="L101" s="55"/>
      <c r="M101" s="55"/>
      <c r="N101" s="48"/>
      <c r="O101" s="78"/>
      <c r="P101" s="53"/>
      <c r="Q101" s="53">
        <f>$C$52</f>
        <v>105</v>
      </c>
      <c r="R101" s="53"/>
      <c r="S101" s="53">
        <f>$D$52</f>
        <v>-40</v>
      </c>
      <c r="T101" s="53"/>
      <c r="U101" s="48"/>
      <c r="V101" s="48"/>
      <c r="W101" s="48"/>
    </row>
    <row r="102" spans="1:23" ht="15" hidden="1" x14ac:dyDescent="0.15">
      <c r="A102" s="48"/>
      <c r="B102" s="48"/>
      <c r="C102" s="48"/>
      <c r="D102" s="48"/>
      <c r="E102" s="48"/>
      <c r="F102" s="48"/>
      <c r="G102" s="48"/>
      <c r="H102" s="48"/>
      <c r="I102" s="48"/>
      <c r="J102" s="48"/>
      <c r="K102" s="55"/>
      <c r="L102" s="55"/>
      <c r="M102" s="55"/>
      <c r="N102" s="48"/>
      <c r="O102" s="78"/>
      <c r="T102" s="53"/>
      <c r="U102" s="48"/>
      <c r="V102" s="48"/>
      <c r="W102" s="48"/>
    </row>
    <row r="103" spans="1:23" ht="15" hidden="1" x14ac:dyDescent="0.15">
      <c r="A103" s="48"/>
      <c r="B103" s="48"/>
      <c r="C103" s="48"/>
      <c r="D103" s="48"/>
      <c r="E103" s="48"/>
      <c r="F103" s="48"/>
      <c r="G103" s="48"/>
      <c r="H103" s="48"/>
      <c r="I103" s="48"/>
      <c r="J103" s="48"/>
      <c r="K103" s="55"/>
      <c r="L103" s="55"/>
      <c r="M103" s="55"/>
      <c r="N103" s="48"/>
      <c r="O103" s="78"/>
      <c r="P103" s="74" t="s">
        <v>7</v>
      </c>
      <c r="Q103" s="74" t="s">
        <v>4</v>
      </c>
      <c r="R103" s="74"/>
      <c r="S103" s="74" t="s">
        <v>5</v>
      </c>
      <c r="T103" s="53"/>
      <c r="U103" s="48"/>
      <c r="V103" s="48"/>
      <c r="W103" s="48"/>
    </row>
    <row r="104" spans="1:23" ht="15" hidden="1" x14ac:dyDescent="0.15">
      <c r="A104" s="48"/>
      <c r="B104" s="48"/>
      <c r="C104" s="48"/>
      <c r="D104" s="48"/>
      <c r="E104" s="48"/>
      <c r="F104" s="48"/>
      <c r="G104" s="48"/>
      <c r="H104" s="48"/>
      <c r="I104" s="48"/>
      <c r="J104" s="48"/>
      <c r="K104" s="48"/>
      <c r="L104" s="48"/>
      <c r="M104" s="48"/>
      <c r="N104" s="48"/>
      <c r="O104" s="78"/>
      <c r="P104" s="53"/>
      <c r="Q104" s="53">
        <f>$C$54</f>
        <v>140</v>
      </c>
      <c r="R104" s="53"/>
      <c r="S104" s="53">
        <f>$D$54</f>
        <v>-25</v>
      </c>
      <c r="T104" s="53"/>
      <c r="U104" s="48"/>
      <c r="V104" s="48"/>
      <c r="W104" s="48"/>
    </row>
    <row r="105" spans="1:23" ht="15" hidden="1" x14ac:dyDescent="0.15">
      <c r="A105" s="48"/>
      <c r="B105" s="48"/>
      <c r="C105" s="48"/>
      <c r="D105" s="48"/>
      <c r="E105" s="48"/>
      <c r="F105" s="48"/>
      <c r="G105" s="48"/>
      <c r="H105" s="48"/>
      <c r="I105" s="48"/>
      <c r="J105" s="48"/>
      <c r="K105" s="48"/>
      <c r="L105" s="55"/>
      <c r="M105" s="70"/>
      <c r="N105" s="48"/>
      <c r="O105" s="78"/>
      <c r="P105" s="53"/>
      <c r="Q105" s="53"/>
      <c r="R105" s="53"/>
      <c r="S105" s="53"/>
      <c r="T105" s="53"/>
      <c r="U105" s="48"/>
      <c r="V105" s="48"/>
      <c r="W105" s="48"/>
    </row>
    <row r="106" spans="1:23" ht="15" hidden="1" x14ac:dyDescent="0.15">
      <c r="A106" s="48"/>
      <c r="B106" s="48"/>
      <c r="C106" s="48"/>
      <c r="D106" s="48"/>
      <c r="E106" s="48"/>
      <c r="F106" s="48"/>
      <c r="G106" s="48"/>
      <c r="H106" s="48"/>
      <c r="I106" s="48"/>
      <c r="J106" s="48"/>
      <c r="K106" s="48"/>
      <c r="L106" s="55"/>
      <c r="M106" s="70"/>
      <c r="N106" s="48"/>
      <c r="O106" s="78"/>
      <c r="P106" s="53"/>
      <c r="Q106" s="74" t="s">
        <v>65</v>
      </c>
      <c r="R106" s="74" t="s">
        <v>6</v>
      </c>
      <c r="S106" s="74"/>
      <c r="T106" s="74"/>
      <c r="U106" s="74"/>
      <c r="V106" s="74" t="s">
        <v>7</v>
      </c>
      <c r="W106" s="74" t="s">
        <v>57</v>
      </c>
    </row>
    <row r="107" spans="1:23" ht="15" hidden="1" x14ac:dyDescent="0.15">
      <c r="A107" s="48"/>
      <c r="B107" s="48"/>
      <c r="C107" s="48"/>
      <c r="D107" s="48"/>
      <c r="E107" s="48"/>
      <c r="F107" s="48"/>
      <c r="G107" s="48"/>
      <c r="H107" s="48" t="s">
        <v>86</v>
      </c>
      <c r="I107" s="48" t="s">
        <v>87</v>
      </c>
      <c r="J107" s="48"/>
      <c r="K107" s="48" t="s">
        <v>66</v>
      </c>
      <c r="M107" s="70"/>
      <c r="N107" s="55" t="s">
        <v>67</v>
      </c>
      <c r="O107" s="78"/>
      <c r="P107" s="53"/>
      <c r="Q107" s="74" t="s">
        <v>3</v>
      </c>
      <c r="R107" s="74" t="s">
        <v>37</v>
      </c>
      <c r="S107" s="74"/>
      <c r="T107" s="74" t="s">
        <v>38</v>
      </c>
      <c r="U107" s="74" t="s">
        <v>58</v>
      </c>
      <c r="V107" s="74" t="s">
        <v>3</v>
      </c>
      <c r="W107" s="74" t="s">
        <v>59</v>
      </c>
    </row>
    <row r="108" spans="1:23" ht="15" hidden="1" x14ac:dyDescent="0.2">
      <c r="A108" s="48"/>
      <c r="B108" s="48"/>
      <c r="C108" s="48"/>
      <c r="D108" s="48"/>
      <c r="E108" s="48"/>
      <c r="F108" s="48"/>
      <c r="G108" s="48"/>
      <c r="H108" s="48"/>
      <c r="I108" s="48"/>
      <c r="J108" s="114">
        <f>L108</f>
        <v>690</v>
      </c>
      <c r="K108" s="48"/>
      <c r="L108" s="55">
        <f>$D$50*I67</f>
        <v>690</v>
      </c>
      <c r="M108" s="114">
        <f>L108</f>
        <v>690</v>
      </c>
      <c r="N108" s="63">
        <f>IF(L108&gt;=M108,M108,L108)</f>
        <v>690</v>
      </c>
      <c r="O108" s="78"/>
      <c r="P108" s="48" t="str">
        <f t="shared" ref="P108:P120" si="44">J83</f>
        <v>CLU701-0303C4</v>
      </c>
      <c r="Q108" s="53" t="b">
        <f>AND(S$101&lt;=$E$75,Q$101&gt;=$E$75)</f>
        <v>1</v>
      </c>
      <c r="R108" s="55">
        <f t="shared" ref="R108:R120" si="45">Q$98*I67</f>
        <v>15</v>
      </c>
      <c r="S108" s="55"/>
      <c r="T108" s="55">
        <f>N108</f>
        <v>690</v>
      </c>
      <c r="U108" s="53" t="b">
        <f>AND(Q108,R108&lt;=N83,T108&gt;=N83)</f>
        <v>1</v>
      </c>
      <c r="V108" s="53" t="b">
        <f>AND(Q108,S$104&lt;X83,Q$104&gt;X83)</f>
        <v>1</v>
      </c>
      <c r="W108" s="53" t="b">
        <f>AND(U108,Q108,V108)</f>
        <v>1</v>
      </c>
    </row>
    <row r="109" spans="1:23" ht="15" hidden="1" x14ac:dyDescent="0.2">
      <c r="A109" s="48"/>
      <c r="B109" s="48"/>
      <c r="C109" s="48"/>
      <c r="D109" s="48"/>
      <c r="E109" s="48"/>
      <c r="F109" s="48"/>
      <c r="G109" s="48"/>
      <c r="H109" s="48"/>
      <c r="I109" s="48"/>
      <c r="J109" s="114">
        <f>L109</f>
        <v>920</v>
      </c>
      <c r="K109" s="48"/>
      <c r="L109" s="55">
        <f t="shared" ref="L109:L113" si="46">$D$50*I68</f>
        <v>920</v>
      </c>
      <c r="M109" s="114">
        <f>IF(L109&gt;J109,J109,L109)</f>
        <v>920</v>
      </c>
      <c r="N109" s="63">
        <f>IF(L109&gt;=M109,M109,L109)</f>
        <v>920</v>
      </c>
      <c r="O109" s="78"/>
      <c r="P109" s="48" t="str">
        <f t="shared" si="44"/>
        <v>CLU701-0304C4</v>
      </c>
      <c r="Q109" s="53" t="b">
        <f>AND(S$101&lt;=$E$75,Q$101&gt;=$E$75)</f>
        <v>1</v>
      </c>
      <c r="R109" s="55">
        <f>Q$98*I68</f>
        <v>20</v>
      </c>
      <c r="S109" s="55"/>
      <c r="T109" s="55">
        <f>N109</f>
        <v>920</v>
      </c>
      <c r="U109" s="53" t="b">
        <f t="shared" ref="U109:U120" si="47">AND(Q109,R109&lt;=N84,T109&gt;=N84)</f>
        <v>0</v>
      </c>
      <c r="V109" s="53" t="b">
        <f t="shared" ref="V109:V120" si="48">AND(Q109,S$104&lt;X84,Q$104&gt;X84)</f>
        <v>1</v>
      </c>
      <c r="W109" s="53" t="b">
        <f>AND(U109,Q109,V109)</f>
        <v>0</v>
      </c>
    </row>
    <row r="110" spans="1:23" ht="15" hidden="1" x14ac:dyDescent="0.2">
      <c r="A110" s="48"/>
      <c r="B110" s="48"/>
      <c r="C110" s="48"/>
      <c r="D110" s="48"/>
      <c r="E110" s="48"/>
      <c r="F110" s="48"/>
      <c r="G110" s="48"/>
      <c r="H110" s="48"/>
      <c r="I110" s="48"/>
      <c r="J110" s="114">
        <f>L110</f>
        <v>460</v>
      </c>
      <c r="K110" s="48"/>
      <c r="L110" s="55">
        <f t="shared" si="46"/>
        <v>460</v>
      </c>
      <c r="M110" s="114">
        <f t="shared" ref="M110:M120" si="49">IF(L110&gt;J110,J110,L110)</f>
        <v>460</v>
      </c>
      <c r="N110" s="63">
        <f t="shared" ref="N110:N120" si="50">IF(L110&gt;=M110,M110,L110)</f>
        <v>460</v>
      </c>
      <c r="O110" s="48"/>
      <c r="P110" s="48" t="str">
        <f t="shared" si="44"/>
        <v>CLU701-1002C4</v>
      </c>
      <c r="Q110" s="53" t="b">
        <f t="shared" ref="Q110:Q120" si="51">AND(S$101&lt;=$E$75,Q$101&gt;=$E$75)</f>
        <v>1</v>
      </c>
      <c r="R110" s="55">
        <f t="shared" si="45"/>
        <v>10</v>
      </c>
      <c r="S110" s="55"/>
      <c r="T110" s="55">
        <f t="shared" ref="T110:T119" si="52">N110</f>
        <v>460</v>
      </c>
      <c r="U110" s="53" t="b">
        <f t="shared" si="47"/>
        <v>1</v>
      </c>
      <c r="V110" s="53" t="b">
        <f t="shared" si="48"/>
        <v>1</v>
      </c>
      <c r="W110" s="53" t="b">
        <f t="shared" ref="W110:W119" si="53">AND(U110,Q110,V110)</f>
        <v>1</v>
      </c>
    </row>
    <row r="111" spans="1:23" ht="15" hidden="1" x14ac:dyDescent="0.2">
      <c r="A111" s="48"/>
      <c r="B111" s="48"/>
      <c r="C111" s="48"/>
      <c r="D111" s="48"/>
      <c r="E111" s="48"/>
      <c r="F111" s="48"/>
      <c r="G111" s="48"/>
      <c r="H111" s="48"/>
      <c r="I111" s="48"/>
      <c r="J111" s="114">
        <f>L111</f>
        <v>920</v>
      </c>
      <c r="K111" s="48"/>
      <c r="L111" s="55">
        <f t="shared" si="46"/>
        <v>920</v>
      </c>
      <c r="M111" s="114">
        <f t="shared" si="49"/>
        <v>920</v>
      </c>
      <c r="N111" s="63">
        <f t="shared" si="50"/>
        <v>920</v>
      </c>
      <c r="O111" s="48"/>
      <c r="P111" s="48" t="str">
        <f t="shared" si="44"/>
        <v>CLU711-1204C4</v>
      </c>
      <c r="Q111" s="53" t="b">
        <f t="shared" si="51"/>
        <v>1</v>
      </c>
      <c r="R111" s="55">
        <f t="shared" si="45"/>
        <v>20</v>
      </c>
      <c r="S111" s="55"/>
      <c r="T111" s="55">
        <f t="shared" si="52"/>
        <v>920</v>
      </c>
      <c r="U111" s="53" t="b">
        <f t="shared" si="47"/>
        <v>1</v>
      </c>
      <c r="V111" s="53" t="b">
        <f t="shared" si="48"/>
        <v>1</v>
      </c>
      <c r="W111" s="53" t="b">
        <f t="shared" si="53"/>
        <v>1</v>
      </c>
    </row>
    <row r="112" spans="1:23" ht="15" hidden="1" x14ac:dyDescent="0.2">
      <c r="A112" s="48"/>
      <c r="B112" s="48"/>
      <c r="C112" s="48"/>
      <c r="D112" s="48"/>
      <c r="E112" s="48"/>
      <c r="F112" s="48"/>
      <c r="G112" s="48"/>
      <c r="H112" s="48"/>
      <c r="I112" s="48"/>
      <c r="J112" s="114">
        <f t="shared" ref="J112:J118" si="54">L112</f>
        <v>1380</v>
      </c>
      <c r="K112" s="48"/>
      <c r="L112" s="55">
        <f t="shared" si="46"/>
        <v>1380</v>
      </c>
      <c r="M112" s="114">
        <f t="shared" si="49"/>
        <v>1380</v>
      </c>
      <c r="N112" s="63">
        <f t="shared" si="50"/>
        <v>1380</v>
      </c>
      <c r="O112" s="48"/>
      <c r="P112" s="48" t="str">
        <f t="shared" si="44"/>
        <v>CLU721-1206C4</v>
      </c>
      <c r="Q112" s="53" t="b">
        <f t="shared" si="51"/>
        <v>1</v>
      </c>
      <c r="R112" s="55">
        <f t="shared" si="45"/>
        <v>30</v>
      </c>
      <c r="S112" s="55"/>
      <c r="T112" s="55">
        <f t="shared" si="52"/>
        <v>1380</v>
      </c>
      <c r="U112" s="53" t="b">
        <f t="shared" si="47"/>
        <v>1</v>
      </c>
      <c r="V112" s="53" t="b">
        <f t="shared" si="48"/>
        <v>1</v>
      </c>
      <c r="W112" s="53" t="b">
        <f t="shared" si="53"/>
        <v>1</v>
      </c>
    </row>
    <row r="113" spans="1:30" ht="15" hidden="1" x14ac:dyDescent="0.2">
      <c r="A113" s="48"/>
      <c r="B113" s="48"/>
      <c r="C113" s="48"/>
      <c r="D113" s="48"/>
      <c r="E113" s="48"/>
      <c r="F113" s="48"/>
      <c r="G113" s="48"/>
      <c r="H113" s="117">
        <v>-62.764525351626219</v>
      </c>
      <c r="I113" s="117">
        <v>8787.0323832535814</v>
      </c>
      <c r="J113" s="139">
        <f>H113*E75+I113</f>
        <v>4553.3557599699525</v>
      </c>
      <c r="K113" s="48"/>
      <c r="L113" s="55">
        <f t="shared" si="46"/>
        <v>2300</v>
      </c>
      <c r="M113" s="114">
        <f>IF(L113&gt;J113,J113,L113)</f>
        <v>2300</v>
      </c>
      <c r="N113" s="63">
        <f t="shared" si="50"/>
        <v>2300</v>
      </c>
      <c r="O113" s="48"/>
      <c r="P113" s="48" t="str">
        <f t="shared" si="44"/>
        <v>CLU731-1210C4</v>
      </c>
      <c r="Q113" s="53" t="b">
        <f t="shared" si="51"/>
        <v>1</v>
      </c>
      <c r="R113" s="55">
        <f t="shared" si="45"/>
        <v>50</v>
      </c>
      <c r="S113" s="55"/>
      <c r="T113" s="55">
        <f t="shared" si="52"/>
        <v>2300</v>
      </c>
      <c r="U113" s="53" t="b">
        <f t="shared" si="47"/>
        <v>1</v>
      </c>
      <c r="V113" s="53" t="b">
        <f t="shared" si="48"/>
        <v>1</v>
      </c>
      <c r="W113" s="53" t="b">
        <f t="shared" si="53"/>
        <v>1</v>
      </c>
    </row>
    <row r="114" spans="1:30" ht="15" hidden="1" x14ac:dyDescent="0.2">
      <c r="A114" s="48"/>
      <c r="B114" s="48"/>
      <c r="C114" s="48"/>
      <c r="D114" s="48"/>
      <c r="E114" s="48"/>
      <c r="F114" s="48"/>
      <c r="G114" s="48"/>
      <c r="H114" s="48"/>
      <c r="I114" s="48"/>
      <c r="J114" s="114">
        <f t="shared" si="54"/>
        <v>0</v>
      </c>
      <c r="K114" s="48"/>
      <c r="L114" s="55">
        <f t="shared" ref="L114:L120" si="55">$D$50*I73</f>
        <v>0</v>
      </c>
      <c r="M114" s="114">
        <f t="shared" si="49"/>
        <v>0</v>
      </c>
      <c r="N114" s="63">
        <f t="shared" si="50"/>
        <v>0</v>
      </c>
      <c r="O114" s="48"/>
      <c r="P114" s="48">
        <f t="shared" si="44"/>
        <v>0</v>
      </c>
      <c r="Q114" s="53" t="b">
        <f t="shared" si="51"/>
        <v>1</v>
      </c>
      <c r="R114" s="55">
        <f t="shared" si="45"/>
        <v>0</v>
      </c>
      <c r="S114" s="55"/>
      <c r="T114" s="55">
        <f t="shared" si="52"/>
        <v>0</v>
      </c>
      <c r="U114" s="53" t="e">
        <f t="shared" si="47"/>
        <v>#DIV/0!</v>
      </c>
      <c r="V114" s="53" t="e">
        <f t="shared" si="48"/>
        <v>#DIV/0!</v>
      </c>
      <c r="W114" s="53" t="e">
        <f t="shared" si="53"/>
        <v>#DIV/0!</v>
      </c>
    </row>
    <row r="115" spans="1:30" ht="15" hidden="1" x14ac:dyDescent="0.2">
      <c r="A115" s="48"/>
      <c r="B115" s="48"/>
      <c r="C115" s="48"/>
      <c r="D115" s="48"/>
      <c r="E115" s="48"/>
      <c r="F115" s="48"/>
      <c r="G115" s="48"/>
      <c r="H115" s="48"/>
      <c r="I115" s="48"/>
      <c r="J115" s="114">
        <f t="shared" si="54"/>
        <v>0</v>
      </c>
      <c r="K115" s="48"/>
      <c r="L115" s="55">
        <f t="shared" si="55"/>
        <v>0</v>
      </c>
      <c r="M115" s="114">
        <f t="shared" si="49"/>
        <v>0</v>
      </c>
      <c r="N115" s="63">
        <f t="shared" si="50"/>
        <v>0</v>
      </c>
      <c r="O115" s="48"/>
      <c r="P115" s="48">
        <f t="shared" si="44"/>
        <v>0</v>
      </c>
      <c r="Q115" s="53" t="b">
        <f t="shared" si="51"/>
        <v>1</v>
      </c>
      <c r="R115" s="55">
        <f t="shared" si="45"/>
        <v>0</v>
      </c>
      <c r="S115" s="55"/>
      <c r="T115" s="55">
        <f t="shared" si="52"/>
        <v>0</v>
      </c>
      <c r="U115" s="53" t="e">
        <f t="shared" si="47"/>
        <v>#DIV/0!</v>
      </c>
      <c r="V115" s="53" t="e">
        <f t="shared" si="48"/>
        <v>#DIV/0!</v>
      </c>
      <c r="W115" s="53" t="e">
        <f t="shared" si="53"/>
        <v>#DIV/0!</v>
      </c>
    </row>
    <row r="116" spans="1:30" ht="15" hidden="1" x14ac:dyDescent="0.2">
      <c r="A116" s="48"/>
      <c r="B116" s="48"/>
      <c r="C116" s="48"/>
      <c r="D116" s="48"/>
      <c r="E116" s="48"/>
      <c r="F116" s="48"/>
      <c r="G116" s="48"/>
      <c r="H116" s="48"/>
      <c r="I116" s="48"/>
      <c r="J116" s="114">
        <f t="shared" si="54"/>
        <v>0</v>
      </c>
      <c r="K116" s="48"/>
      <c r="L116" s="55">
        <f t="shared" si="55"/>
        <v>0</v>
      </c>
      <c r="M116" s="114">
        <f t="shared" si="49"/>
        <v>0</v>
      </c>
      <c r="N116" s="63">
        <f t="shared" si="50"/>
        <v>0</v>
      </c>
      <c r="O116" s="48"/>
      <c r="P116" s="48">
        <f t="shared" si="44"/>
        <v>0</v>
      </c>
      <c r="Q116" s="53" t="b">
        <f t="shared" si="51"/>
        <v>1</v>
      </c>
      <c r="R116" s="55">
        <f t="shared" si="45"/>
        <v>0</v>
      </c>
      <c r="S116" s="55"/>
      <c r="T116" s="55">
        <f t="shared" si="52"/>
        <v>0</v>
      </c>
      <c r="U116" s="53" t="e">
        <f t="shared" si="47"/>
        <v>#DIV/0!</v>
      </c>
      <c r="V116" s="53" t="e">
        <f t="shared" si="48"/>
        <v>#DIV/0!</v>
      </c>
      <c r="W116" s="53" t="e">
        <f t="shared" si="53"/>
        <v>#DIV/0!</v>
      </c>
    </row>
    <row r="117" spans="1:30" ht="15" hidden="1" x14ac:dyDescent="0.2">
      <c r="A117" s="48"/>
      <c r="B117" s="48"/>
      <c r="C117" s="48"/>
      <c r="D117" s="48"/>
      <c r="E117" s="48"/>
      <c r="F117" s="48"/>
      <c r="G117" s="48"/>
      <c r="H117" s="48"/>
      <c r="I117" s="48"/>
      <c r="J117" s="114">
        <f t="shared" si="54"/>
        <v>0</v>
      </c>
      <c r="K117" s="48"/>
      <c r="L117" s="55">
        <f t="shared" si="55"/>
        <v>0</v>
      </c>
      <c r="M117" s="114">
        <f t="shared" si="49"/>
        <v>0</v>
      </c>
      <c r="N117" s="63">
        <f t="shared" si="50"/>
        <v>0</v>
      </c>
      <c r="O117" s="48"/>
      <c r="P117" s="48">
        <f t="shared" si="44"/>
        <v>0</v>
      </c>
      <c r="Q117" s="53" t="b">
        <f t="shared" si="51"/>
        <v>1</v>
      </c>
      <c r="R117" s="55">
        <f t="shared" si="45"/>
        <v>0</v>
      </c>
      <c r="S117" s="55"/>
      <c r="T117" s="55">
        <f t="shared" si="52"/>
        <v>0</v>
      </c>
      <c r="U117" s="53" t="e">
        <f t="shared" si="47"/>
        <v>#DIV/0!</v>
      </c>
      <c r="V117" s="53" t="e">
        <f t="shared" si="48"/>
        <v>#DIV/0!</v>
      </c>
      <c r="W117" s="53" t="e">
        <f t="shared" si="53"/>
        <v>#DIV/0!</v>
      </c>
    </row>
    <row r="118" spans="1:30" ht="15" hidden="1" x14ac:dyDescent="0.2">
      <c r="A118" s="48"/>
      <c r="B118" s="48"/>
      <c r="C118" s="48"/>
      <c r="D118" s="48"/>
      <c r="E118" s="48"/>
      <c r="F118" s="48"/>
      <c r="G118" s="48"/>
      <c r="H118" s="48"/>
      <c r="I118" s="48"/>
      <c r="J118" s="114">
        <f t="shared" si="54"/>
        <v>0</v>
      </c>
      <c r="K118" s="48"/>
      <c r="L118" s="55">
        <f t="shared" si="55"/>
        <v>0</v>
      </c>
      <c r="M118" s="114">
        <f t="shared" si="49"/>
        <v>0</v>
      </c>
      <c r="N118" s="63">
        <f t="shared" si="50"/>
        <v>0</v>
      </c>
      <c r="O118" s="48"/>
      <c r="P118" s="48">
        <f t="shared" si="44"/>
        <v>0</v>
      </c>
      <c r="Q118" s="53" t="b">
        <f t="shared" si="51"/>
        <v>1</v>
      </c>
      <c r="R118" s="55">
        <f t="shared" si="45"/>
        <v>0</v>
      </c>
      <c r="S118" s="55"/>
      <c r="T118" s="55">
        <f t="shared" si="52"/>
        <v>0</v>
      </c>
      <c r="U118" s="53" t="e">
        <f t="shared" si="47"/>
        <v>#DIV/0!</v>
      </c>
      <c r="V118" s="53" t="e">
        <f t="shared" si="48"/>
        <v>#DIV/0!</v>
      </c>
      <c r="W118" s="53" t="e">
        <f t="shared" si="53"/>
        <v>#DIV/0!</v>
      </c>
    </row>
    <row r="119" spans="1:30" ht="15" hidden="1" x14ac:dyDescent="0.2">
      <c r="A119" s="48"/>
      <c r="B119" s="48"/>
      <c r="C119" s="48"/>
      <c r="D119" s="48"/>
      <c r="E119" s="48"/>
      <c r="F119" s="48"/>
      <c r="G119" s="48"/>
      <c r="H119" s="48"/>
      <c r="I119" s="48"/>
      <c r="J119" s="114">
        <f t="shared" ref="J119:J120" si="56">H119*$E$75+I119</f>
        <v>0</v>
      </c>
      <c r="K119" s="48"/>
      <c r="L119" s="55">
        <f t="shared" si="55"/>
        <v>0</v>
      </c>
      <c r="M119" s="114">
        <f t="shared" si="49"/>
        <v>0</v>
      </c>
      <c r="N119" s="63">
        <f t="shared" si="50"/>
        <v>0</v>
      </c>
      <c r="O119" s="48"/>
      <c r="P119" s="48">
        <f t="shared" si="44"/>
        <v>0</v>
      </c>
      <c r="Q119" s="53" t="b">
        <f t="shared" si="51"/>
        <v>1</v>
      </c>
      <c r="R119" s="55">
        <f t="shared" si="45"/>
        <v>0</v>
      </c>
      <c r="S119" s="55"/>
      <c r="T119" s="55">
        <f t="shared" si="52"/>
        <v>0</v>
      </c>
      <c r="U119" s="53" t="e">
        <f t="shared" si="47"/>
        <v>#DIV/0!</v>
      </c>
      <c r="V119" s="53" t="e">
        <f t="shared" si="48"/>
        <v>#DIV/0!</v>
      </c>
      <c r="W119" s="53" t="e">
        <f t="shared" si="53"/>
        <v>#DIV/0!</v>
      </c>
    </row>
    <row r="120" spans="1:30" ht="15" hidden="1" x14ac:dyDescent="0.2">
      <c r="A120" s="48"/>
      <c r="B120" s="48"/>
      <c r="C120" s="48"/>
      <c r="D120" s="48"/>
      <c r="E120" s="48"/>
      <c r="F120" s="48"/>
      <c r="G120" s="48"/>
      <c r="H120" s="48"/>
      <c r="I120" s="48"/>
      <c r="J120" s="114">
        <f t="shared" si="56"/>
        <v>0</v>
      </c>
      <c r="K120" s="48"/>
      <c r="L120" s="55">
        <f t="shared" si="55"/>
        <v>0</v>
      </c>
      <c r="M120" s="114">
        <f t="shared" si="49"/>
        <v>0</v>
      </c>
      <c r="N120" s="63">
        <f t="shared" si="50"/>
        <v>0</v>
      </c>
      <c r="O120" s="48"/>
      <c r="P120" s="48">
        <f t="shared" si="44"/>
        <v>0</v>
      </c>
      <c r="Q120" s="53" t="b">
        <f t="shared" si="51"/>
        <v>1</v>
      </c>
      <c r="R120" s="55">
        <f t="shared" si="45"/>
        <v>0</v>
      </c>
      <c r="S120" s="55"/>
      <c r="T120" s="55">
        <f>N120</f>
        <v>0</v>
      </c>
      <c r="U120" s="53" t="e">
        <f t="shared" si="47"/>
        <v>#DIV/0!</v>
      </c>
      <c r="V120" s="53" t="e">
        <f t="shared" si="48"/>
        <v>#DIV/0!</v>
      </c>
      <c r="W120" s="53" t="e">
        <f>AND(U120,Q120,V120)</f>
        <v>#DIV/0!</v>
      </c>
    </row>
    <row r="121" spans="1:30" ht="14.25" hidden="1" x14ac:dyDescent="0.15">
      <c r="A121" s="48"/>
      <c r="B121" s="48"/>
      <c r="C121" s="48"/>
      <c r="D121" s="48"/>
      <c r="E121" s="48"/>
      <c r="F121" s="48"/>
      <c r="G121" s="48"/>
      <c r="H121" s="48"/>
      <c r="I121" s="48"/>
      <c r="J121" s="48"/>
      <c r="K121" s="48" t="s">
        <v>110</v>
      </c>
      <c r="L121" s="48"/>
      <c r="M121" s="48"/>
      <c r="N121" s="48"/>
      <c r="O121" s="48"/>
      <c r="P121" s="48"/>
      <c r="Q121" s="48"/>
      <c r="R121" s="48"/>
      <c r="S121" s="48"/>
      <c r="T121" s="48"/>
      <c r="U121" s="48"/>
      <c r="V121" s="48"/>
      <c r="W121" s="48"/>
    </row>
    <row r="122" spans="1:30" ht="14.25" hidden="1" x14ac:dyDescent="0.15">
      <c r="A122" s="57"/>
      <c r="B122" s="57" t="s">
        <v>40</v>
      </c>
      <c r="C122" s="57" t="s">
        <v>41</v>
      </c>
      <c r="D122" s="57" t="s">
        <v>42</v>
      </c>
      <c r="E122" s="57" t="s">
        <v>43</v>
      </c>
      <c r="F122" s="57" t="s">
        <v>44</v>
      </c>
      <c r="G122" s="48"/>
      <c r="H122" s="48"/>
      <c r="I122" s="48"/>
      <c r="J122" s="48"/>
      <c r="K122" s="97"/>
      <c r="L122" s="97">
        <v>1</v>
      </c>
      <c r="M122" s="97">
        <v>2</v>
      </c>
      <c r="N122" s="97">
        <v>3</v>
      </c>
      <c r="O122" s="97">
        <v>4</v>
      </c>
      <c r="P122" s="97">
        <v>5</v>
      </c>
      <c r="Q122" s="97">
        <v>6</v>
      </c>
      <c r="R122" s="97">
        <v>7</v>
      </c>
      <c r="S122" s="97">
        <v>8</v>
      </c>
      <c r="T122" s="97">
        <v>9</v>
      </c>
      <c r="U122" s="97">
        <v>10</v>
      </c>
      <c r="V122" s="97">
        <v>11</v>
      </c>
      <c r="W122" s="97">
        <v>12</v>
      </c>
      <c r="X122" s="97">
        <v>13</v>
      </c>
      <c r="Y122" s="97">
        <v>14</v>
      </c>
      <c r="Z122" s="97">
        <v>15</v>
      </c>
      <c r="AA122" s="97">
        <v>16</v>
      </c>
      <c r="AB122" s="97">
        <v>17</v>
      </c>
      <c r="AC122" s="97">
        <v>18</v>
      </c>
      <c r="AD122" s="97">
        <v>19</v>
      </c>
    </row>
    <row r="123" spans="1:30" ht="14.25" hidden="1" x14ac:dyDescent="0.15">
      <c r="A123" s="57" t="s">
        <v>45</v>
      </c>
      <c r="B123" s="91">
        <f t="shared" ref="B123:F125" si="57">C59</f>
        <v>5.6231687397017703E-9</v>
      </c>
      <c r="C123" s="91">
        <f t="shared" si="57"/>
        <v>1.0968818264518601</v>
      </c>
      <c r="D123" s="91">
        <f t="shared" si="57"/>
        <v>-1.5740768923686901E-6</v>
      </c>
      <c r="E123" s="91">
        <f t="shared" si="57"/>
        <v>-1.115215453639155E-8</v>
      </c>
      <c r="F123" s="91">
        <f t="shared" si="57"/>
        <v>2.7366883102613162E-6</v>
      </c>
      <c r="G123" s="48"/>
      <c r="H123" s="32" t="s">
        <v>1</v>
      </c>
      <c r="I123" s="33" t="s">
        <v>2</v>
      </c>
      <c r="J123" s="48"/>
      <c r="K123" s="97" t="s">
        <v>48</v>
      </c>
      <c r="L123" s="97" t="str">
        <f>K2</f>
        <v>5000K Natural</v>
      </c>
      <c r="M123" s="97" t="str">
        <f>K3</f>
        <v>4000K Natural</v>
      </c>
      <c r="N123" s="97" t="str">
        <f>K4</f>
        <v>3500K Natural</v>
      </c>
      <c r="O123" s="97" t="str">
        <f>K5</f>
        <v>3000K Natural</v>
      </c>
      <c r="P123" s="97" t="str">
        <f>K6</f>
        <v>2700K Natural</v>
      </c>
      <c r="Q123" s="97">
        <f>K7</f>
        <v>0</v>
      </c>
      <c r="R123" s="97">
        <f>K8</f>
        <v>0</v>
      </c>
      <c r="S123" s="97">
        <f>K9</f>
        <v>0</v>
      </c>
      <c r="T123" s="97">
        <f>K10</f>
        <v>0</v>
      </c>
      <c r="U123" s="97">
        <f>K11</f>
        <v>0</v>
      </c>
      <c r="V123" s="97">
        <f>K12</f>
        <v>0</v>
      </c>
      <c r="W123" s="97">
        <f>K13</f>
        <v>0</v>
      </c>
      <c r="X123" s="97">
        <f>K14</f>
        <v>0</v>
      </c>
      <c r="Y123" s="97">
        <f>K15</f>
        <v>0</v>
      </c>
      <c r="Z123" s="97">
        <f>K16</f>
        <v>0</v>
      </c>
      <c r="AA123" s="97">
        <f>K17</f>
        <v>0</v>
      </c>
      <c r="AB123" s="97">
        <f>K18</f>
        <v>0</v>
      </c>
      <c r="AC123" s="97">
        <f>K19</f>
        <v>0</v>
      </c>
      <c r="AD123" s="97">
        <f>K20</f>
        <v>0</v>
      </c>
    </row>
    <row r="124" spans="1:30" ht="14.25" hidden="1" x14ac:dyDescent="0.15">
      <c r="A124" s="57" t="s">
        <v>46</v>
      </c>
      <c r="B124" s="91">
        <f t="shared" si="57"/>
        <v>-6.8430471092030796E-6</v>
      </c>
      <c r="C124" s="91">
        <f t="shared" si="57"/>
        <v>28.364491609474101</v>
      </c>
      <c r="D124" s="91">
        <f t="shared" si="57"/>
        <v>1.2473616721143199E-3</v>
      </c>
      <c r="E124" s="91">
        <f t="shared" si="57"/>
        <v>-4.1294483136519757E-6</v>
      </c>
      <c r="F124" s="91">
        <f t="shared" si="57"/>
        <v>-9.4613757242850683E-4</v>
      </c>
      <c r="G124" s="48">
        <f>H124*I124</f>
        <v>9</v>
      </c>
      <c r="H124" s="48">
        <f t="shared" ref="H124:I136" si="58">H67</f>
        <v>3</v>
      </c>
      <c r="I124" s="48">
        <f t="shared" si="58"/>
        <v>3</v>
      </c>
      <c r="J124" s="48" t="str">
        <f t="shared" ref="J124:J135" si="59">B2</f>
        <v>CLU701-0303C4</v>
      </c>
      <c r="K124" s="106">
        <f t="shared" ref="K124:P136" si="60">K67</f>
        <v>9.6865593535839078</v>
      </c>
      <c r="L124" s="113">
        <f t="shared" si="60"/>
        <v>561.38969294432616</v>
      </c>
      <c r="M124" s="113">
        <f t="shared" si="60"/>
        <v>544.01593068686157</v>
      </c>
      <c r="N124" s="113">
        <f t="shared" si="60"/>
        <v>509.26840617193227</v>
      </c>
      <c r="O124" s="109">
        <f t="shared" si="60"/>
        <v>494.06636419665074</v>
      </c>
      <c r="P124" s="109">
        <f t="shared" si="60"/>
        <v>470.17744109263685</v>
      </c>
      <c r="Q124" s="109">
        <f t="shared" ref="Q124:X124" si="61">Q67</f>
        <v>0</v>
      </c>
      <c r="R124" s="109">
        <f t="shared" si="61"/>
        <v>0</v>
      </c>
      <c r="S124" s="109">
        <f t="shared" si="61"/>
        <v>0</v>
      </c>
      <c r="T124" s="109">
        <f t="shared" si="61"/>
        <v>0</v>
      </c>
      <c r="U124" s="109">
        <f t="shared" si="61"/>
        <v>0</v>
      </c>
      <c r="V124" s="109">
        <f t="shared" si="61"/>
        <v>0</v>
      </c>
      <c r="W124" s="109">
        <f t="shared" si="61"/>
        <v>0</v>
      </c>
      <c r="X124" s="109">
        <f t="shared" si="61"/>
        <v>0</v>
      </c>
      <c r="Y124" s="108" t="s">
        <v>85</v>
      </c>
      <c r="Z124" s="108" t="s">
        <v>85</v>
      </c>
      <c r="AA124" s="108" t="s">
        <v>85</v>
      </c>
      <c r="AB124" s="108" t="s">
        <v>85</v>
      </c>
      <c r="AC124" s="108" t="s">
        <v>85</v>
      </c>
      <c r="AD124" s="108" t="s">
        <v>85</v>
      </c>
    </row>
    <row r="125" spans="1:30" ht="14.25" hidden="1" x14ac:dyDescent="0.15">
      <c r="A125" s="57" t="s">
        <v>47</v>
      </c>
      <c r="B125" s="91">
        <f t="shared" si="57"/>
        <v>6.7343756711103903E-3</v>
      </c>
      <c r="C125" s="91">
        <f t="shared" si="57"/>
        <v>145.51790587821401</v>
      </c>
      <c r="D125" s="91">
        <f t="shared" si="57"/>
        <v>0.82991781220878702</v>
      </c>
      <c r="E125" s="91">
        <f t="shared" si="57"/>
        <v>-1.3906686657642209E-3</v>
      </c>
      <c r="F125" s="91">
        <f t="shared" si="57"/>
        <v>1.0219430090961608</v>
      </c>
      <c r="G125" s="48">
        <f>H125*I125</f>
        <v>12</v>
      </c>
      <c r="H125" s="48">
        <f t="shared" si="58"/>
        <v>3</v>
      </c>
      <c r="I125" s="48">
        <f t="shared" si="58"/>
        <v>4</v>
      </c>
      <c r="J125" s="48" t="str">
        <f t="shared" si="59"/>
        <v>CLU701-0304C4</v>
      </c>
      <c r="K125" s="106">
        <f t="shared" si="60"/>
        <v>9.683718893140437</v>
      </c>
      <c r="L125" s="109">
        <f t="shared" si="60"/>
        <v>0</v>
      </c>
      <c r="M125" s="109">
        <f t="shared" si="60"/>
        <v>0</v>
      </c>
      <c r="N125" s="109">
        <f t="shared" si="60"/>
        <v>0</v>
      </c>
      <c r="O125" s="109">
        <f t="shared" si="60"/>
        <v>0</v>
      </c>
      <c r="P125" s="109">
        <f t="shared" si="60"/>
        <v>0</v>
      </c>
      <c r="Q125" s="109">
        <f t="shared" ref="Q125:AD125" si="62">Q68</f>
        <v>0</v>
      </c>
      <c r="R125" s="109">
        <f t="shared" si="62"/>
        <v>0</v>
      </c>
      <c r="S125" s="109">
        <f t="shared" si="62"/>
        <v>0</v>
      </c>
      <c r="T125" s="109">
        <f t="shared" si="62"/>
        <v>0</v>
      </c>
      <c r="U125" s="109">
        <f t="shared" si="62"/>
        <v>0</v>
      </c>
      <c r="V125" s="109">
        <f t="shared" si="62"/>
        <v>0</v>
      </c>
      <c r="W125" s="109">
        <f t="shared" si="62"/>
        <v>0</v>
      </c>
      <c r="X125" s="109">
        <f t="shared" si="62"/>
        <v>0</v>
      </c>
      <c r="Y125" s="108" t="s">
        <v>85</v>
      </c>
      <c r="Z125" s="108" t="s">
        <v>85</v>
      </c>
      <c r="AA125" s="108" t="s">
        <v>85</v>
      </c>
      <c r="AB125" s="109">
        <f t="shared" si="62"/>
        <v>0</v>
      </c>
      <c r="AC125" s="109">
        <f t="shared" si="62"/>
        <v>0</v>
      </c>
      <c r="AD125" s="109">
        <f t="shared" si="62"/>
        <v>0</v>
      </c>
    </row>
    <row r="126" spans="1:30" ht="14.25" hidden="1" x14ac:dyDescent="0.15">
      <c r="A126" s="62" t="s">
        <v>63</v>
      </c>
      <c r="B126" s="91">
        <f>C62</f>
        <v>9.1590531069136397E-4</v>
      </c>
      <c r="C126" s="91">
        <f>D62</f>
        <v>0.151560797680589</v>
      </c>
      <c r="D126" s="92"/>
      <c r="E126" s="91">
        <f>F62</f>
        <v>1.0375218742414281</v>
      </c>
      <c r="F126" s="92"/>
      <c r="G126" s="48">
        <f t="shared" ref="G126:G135" si="63">H126*I126</f>
        <v>20</v>
      </c>
      <c r="H126" s="48">
        <f t="shared" si="58"/>
        <v>10</v>
      </c>
      <c r="I126" s="48">
        <f t="shared" si="58"/>
        <v>2</v>
      </c>
      <c r="J126" s="48" t="str">
        <f t="shared" si="59"/>
        <v>CLU701-1002C4</v>
      </c>
      <c r="K126" s="106">
        <f t="shared" si="60"/>
        <v>32.283275854905767</v>
      </c>
      <c r="L126" s="109">
        <f t="shared" si="60"/>
        <v>1165.4845470622624</v>
      </c>
      <c r="M126" s="109">
        <f t="shared" si="60"/>
        <v>1130.758750501748</v>
      </c>
      <c r="N126" s="109">
        <f t="shared" si="60"/>
        <v>1059.1367950956871</v>
      </c>
      <c r="O126" s="109">
        <f t="shared" si="60"/>
        <v>1026.581360820205</v>
      </c>
      <c r="P126" s="109">
        <f t="shared" si="60"/>
        <v>977.7482094069818</v>
      </c>
      <c r="Q126" s="109">
        <f t="shared" ref="Q126:AD126" si="64">Q69</f>
        <v>0</v>
      </c>
      <c r="R126" s="109">
        <f t="shared" si="64"/>
        <v>0</v>
      </c>
      <c r="S126" s="109">
        <f t="shared" si="64"/>
        <v>0</v>
      </c>
      <c r="T126" s="109">
        <f t="shared" si="64"/>
        <v>0</v>
      </c>
      <c r="U126" s="109">
        <f t="shared" si="64"/>
        <v>0</v>
      </c>
      <c r="V126" s="109">
        <f t="shared" si="64"/>
        <v>0</v>
      </c>
      <c r="W126" s="109">
        <f t="shared" si="64"/>
        <v>0</v>
      </c>
      <c r="X126" s="109">
        <f t="shared" si="64"/>
        <v>0</v>
      </c>
      <c r="Y126" s="108" t="s">
        <v>85</v>
      </c>
      <c r="Z126" s="108" t="s">
        <v>85</v>
      </c>
      <c r="AA126" s="108" t="s">
        <v>85</v>
      </c>
      <c r="AB126" s="109">
        <f t="shared" si="64"/>
        <v>0</v>
      </c>
      <c r="AC126" s="109">
        <f t="shared" si="64"/>
        <v>0</v>
      </c>
      <c r="AD126" s="109">
        <f t="shared" si="64"/>
        <v>0</v>
      </c>
    </row>
    <row r="127" spans="1:30" ht="14.25" hidden="1" x14ac:dyDescent="0.15">
      <c r="A127" s="48"/>
      <c r="B127" s="48"/>
      <c r="C127" s="48"/>
      <c r="D127" s="48" t="s">
        <v>60</v>
      </c>
      <c r="E127" s="69">
        <f>Simulator!G6</f>
        <v>350</v>
      </c>
      <c r="G127" s="48">
        <f t="shared" si="63"/>
        <v>48</v>
      </c>
      <c r="H127" s="48">
        <f t="shared" si="58"/>
        <v>12</v>
      </c>
      <c r="I127" s="48">
        <f t="shared" si="58"/>
        <v>4</v>
      </c>
      <c r="J127" s="48" t="str">
        <f t="shared" si="59"/>
        <v>CLU711-1204C4</v>
      </c>
      <c r="K127" s="106">
        <f t="shared" si="60"/>
        <v>38.588559216015085</v>
      </c>
      <c r="L127" s="109">
        <f t="shared" si="60"/>
        <v>2788.0736541105857</v>
      </c>
      <c r="M127" s="109">
        <f t="shared" si="60"/>
        <v>2704.6240205646818</v>
      </c>
      <c r="N127" s="109">
        <f t="shared" si="60"/>
        <v>2533.4452850859047</v>
      </c>
      <c r="O127" s="109">
        <f t="shared" si="60"/>
        <v>2455.3449870237123</v>
      </c>
      <c r="P127" s="109">
        <f t="shared" si="60"/>
        <v>2338.7294734787952</v>
      </c>
      <c r="Q127" s="109">
        <f t="shared" ref="Q127:AD127" si="65">Q70</f>
        <v>0</v>
      </c>
      <c r="R127" s="109">
        <f t="shared" si="65"/>
        <v>0</v>
      </c>
      <c r="S127" s="109">
        <f t="shared" si="65"/>
        <v>0</v>
      </c>
      <c r="T127" s="109">
        <f t="shared" si="65"/>
        <v>0</v>
      </c>
      <c r="U127" s="109">
        <f t="shared" si="65"/>
        <v>0</v>
      </c>
      <c r="V127" s="109">
        <f t="shared" si="65"/>
        <v>0</v>
      </c>
      <c r="W127" s="109">
        <f t="shared" si="65"/>
        <v>0</v>
      </c>
      <c r="X127" s="109">
        <f t="shared" si="65"/>
        <v>0</v>
      </c>
      <c r="Y127" s="109">
        <f t="shared" si="65"/>
        <v>0</v>
      </c>
      <c r="Z127" s="109">
        <f t="shared" si="65"/>
        <v>0</v>
      </c>
      <c r="AA127" s="109">
        <f t="shared" si="65"/>
        <v>0</v>
      </c>
      <c r="AB127" s="109">
        <f t="shared" si="65"/>
        <v>0</v>
      </c>
      <c r="AC127" s="109">
        <f t="shared" si="65"/>
        <v>0</v>
      </c>
      <c r="AD127" s="109">
        <f t="shared" si="65"/>
        <v>0</v>
      </c>
    </row>
    <row r="128" spans="1:30" ht="14.25" hidden="1" x14ac:dyDescent="0.15">
      <c r="A128" s="48"/>
      <c r="B128" s="65"/>
      <c r="C128" s="65"/>
      <c r="D128" s="48"/>
      <c r="E128" s="48"/>
      <c r="G128" s="48">
        <f t="shared" si="63"/>
        <v>72</v>
      </c>
      <c r="H128" s="48">
        <f t="shared" si="58"/>
        <v>12</v>
      </c>
      <c r="I128" s="48">
        <f t="shared" si="58"/>
        <v>6</v>
      </c>
      <c r="J128" s="48" t="str">
        <f t="shared" si="59"/>
        <v>CLU721-1206C4</v>
      </c>
      <c r="K128" s="106">
        <f t="shared" si="60"/>
        <v>38.594931908173024</v>
      </c>
      <c r="L128" s="109">
        <f t="shared" si="60"/>
        <v>4141.6729979780703</v>
      </c>
      <c r="M128" s="109">
        <f t="shared" si="60"/>
        <v>4018.5682177331805</v>
      </c>
      <c r="N128" s="109">
        <f t="shared" si="60"/>
        <v>3763.7948464437568</v>
      </c>
      <c r="O128" s="109">
        <f t="shared" si="60"/>
        <v>3648.183400648556</v>
      </c>
      <c r="P128" s="109">
        <f t="shared" si="60"/>
        <v>3474.7662319557548</v>
      </c>
      <c r="Q128" s="109">
        <f t="shared" ref="Q128:AD128" si="66">Q71</f>
        <v>0</v>
      </c>
      <c r="R128" s="109">
        <f t="shared" si="66"/>
        <v>0</v>
      </c>
      <c r="S128" s="109">
        <f t="shared" si="66"/>
        <v>0</v>
      </c>
      <c r="T128" s="109">
        <f t="shared" si="66"/>
        <v>0</v>
      </c>
      <c r="U128" s="109">
        <f t="shared" si="66"/>
        <v>0</v>
      </c>
      <c r="V128" s="109">
        <f t="shared" si="66"/>
        <v>0</v>
      </c>
      <c r="W128" s="109">
        <f t="shared" si="66"/>
        <v>0</v>
      </c>
      <c r="X128" s="109">
        <f t="shared" si="66"/>
        <v>0</v>
      </c>
      <c r="Y128" s="108" t="s">
        <v>85</v>
      </c>
      <c r="Z128" s="108" t="s">
        <v>85</v>
      </c>
      <c r="AA128" s="108" t="s">
        <v>85</v>
      </c>
      <c r="AB128" s="109">
        <f t="shared" si="66"/>
        <v>0</v>
      </c>
      <c r="AC128" s="109">
        <f t="shared" si="66"/>
        <v>0</v>
      </c>
      <c r="AD128" s="109">
        <f t="shared" si="66"/>
        <v>0</v>
      </c>
    </row>
    <row r="129" spans="1:30" ht="14.25" hidden="1" x14ac:dyDescent="0.15">
      <c r="A129" s="48"/>
      <c r="B129" s="55"/>
      <c r="C129" s="70"/>
      <c r="D129" s="48" t="s">
        <v>61</v>
      </c>
      <c r="E129" s="87">
        <f>Simulator!L6</f>
        <v>67.453336093362736</v>
      </c>
      <c r="G129" s="48">
        <f t="shared" si="63"/>
        <v>120</v>
      </c>
      <c r="H129" s="48">
        <f t="shared" si="58"/>
        <v>12</v>
      </c>
      <c r="I129" s="48">
        <f t="shared" si="58"/>
        <v>10</v>
      </c>
      <c r="J129" s="48" t="str">
        <f t="shared" si="59"/>
        <v>CLU731-1210C4</v>
      </c>
      <c r="K129" s="106">
        <f t="shared" si="60"/>
        <v>38.497992627684631</v>
      </c>
      <c r="L129" s="109">
        <f t="shared" si="60"/>
        <v>6849.9261653313142</v>
      </c>
      <c r="M129" s="109">
        <f t="shared" si="60"/>
        <v>6646.1161817975144</v>
      </c>
      <c r="N129" s="109">
        <f t="shared" si="60"/>
        <v>6224.6965804281463</v>
      </c>
      <c r="O129" s="109">
        <f t="shared" si="60"/>
        <v>6033.6247208652085</v>
      </c>
      <c r="P129" s="109">
        <f t="shared" si="60"/>
        <v>5747.0169315208022</v>
      </c>
      <c r="Q129" s="109">
        <f t="shared" ref="Q129:AD129" si="67">Q72</f>
        <v>0</v>
      </c>
      <c r="R129" s="109">
        <f t="shared" si="67"/>
        <v>0</v>
      </c>
      <c r="S129" s="109">
        <f t="shared" si="67"/>
        <v>0</v>
      </c>
      <c r="T129" s="109">
        <f t="shared" si="67"/>
        <v>0</v>
      </c>
      <c r="U129" s="109">
        <f t="shared" si="67"/>
        <v>0</v>
      </c>
      <c r="V129" s="109">
        <f t="shared" si="67"/>
        <v>0</v>
      </c>
      <c r="W129" s="109">
        <f t="shared" si="67"/>
        <v>0</v>
      </c>
      <c r="X129" s="109">
        <f t="shared" si="67"/>
        <v>0</v>
      </c>
      <c r="Y129" s="109">
        <f t="shared" si="67"/>
        <v>0</v>
      </c>
      <c r="Z129" s="109">
        <f t="shared" si="67"/>
        <v>0</v>
      </c>
      <c r="AA129" s="109">
        <f t="shared" si="67"/>
        <v>0</v>
      </c>
      <c r="AB129" s="109">
        <f t="shared" si="67"/>
        <v>0</v>
      </c>
      <c r="AC129" s="109">
        <f t="shared" si="67"/>
        <v>0</v>
      </c>
      <c r="AD129" s="109">
        <f t="shared" si="67"/>
        <v>0</v>
      </c>
    </row>
    <row r="130" spans="1:30" ht="14.25" hidden="1" x14ac:dyDescent="0.15">
      <c r="A130" s="48"/>
      <c r="B130" s="48"/>
      <c r="C130" s="48"/>
      <c r="D130" s="48"/>
      <c r="E130" s="48"/>
      <c r="G130" s="48">
        <f t="shared" si="63"/>
        <v>0</v>
      </c>
      <c r="H130" s="48">
        <f t="shared" si="58"/>
        <v>0</v>
      </c>
      <c r="I130" s="48">
        <f t="shared" si="58"/>
        <v>0</v>
      </c>
      <c r="J130" s="48">
        <f t="shared" si="59"/>
        <v>0</v>
      </c>
      <c r="K130" s="106">
        <f t="shared" si="60"/>
        <v>0</v>
      </c>
      <c r="L130" s="109" t="e">
        <f t="shared" si="60"/>
        <v>#DIV/0!</v>
      </c>
      <c r="M130" s="109" t="e">
        <f t="shared" si="60"/>
        <v>#DIV/0!</v>
      </c>
      <c r="N130" s="109" t="e">
        <f t="shared" si="60"/>
        <v>#DIV/0!</v>
      </c>
      <c r="O130" s="109" t="e">
        <f t="shared" si="60"/>
        <v>#DIV/0!</v>
      </c>
      <c r="P130" s="109" t="e">
        <f t="shared" si="60"/>
        <v>#DIV/0!</v>
      </c>
      <c r="Q130" s="109" t="e">
        <f t="shared" ref="Q130:AD130" si="68">Q73</f>
        <v>#DIV/0!</v>
      </c>
      <c r="R130" s="109" t="e">
        <f t="shared" si="68"/>
        <v>#DIV/0!</v>
      </c>
      <c r="S130" s="109" t="e">
        <f t="shared" si="68"/>
        <v>#DIV/0!</v>
      </c>
      <c r="T130" s="109" t="e">
        <f t="shared" si="68"/>
        <v>#DIV/0!</v>
      </c>
      <c r="U130" s="109" t="e">
        <f t="shared" si="68"/>
        <v>#DIV/0!</v>
      </c>
      <c r="V130" s="109" t="e">
        <f t="shared" si="68"/>
        <v>#DIV/0!</v>
      </c>
      <c r="W130" s="109" t="e">
        <f t="shared" si="68"/>
        <v>#DIV/0!</v>
      </c>
      <c r="X130" s="109" t="e">
        <f t="shared" si="68"/>
        <v>#DIV/0!</v>
      </c>
      <c r="Y130" s="109" t="e">
        <f t="shared" si="68"/>
        <v>#DIV/0!</v>
      </c>
      <c r="Z130" s="109" t="e">
        <f t="shared" si="68"/>
        <v>#DIV/0!</v>
      </c>
      <c r="AA130" s="109" t="e">
        <f t="shared" si="68"/>
        <v>#DIV/0!</v>
      </c>
      <c r="AB130" s="109" t="e">
        <f t="shared" si="68"/>
        <v>#DIV/0!</v>
      </c>
      <c r="AC130" s="109" t="e">
        <f t="shared" si="68"/>
        <v>#DIV/0!</v>
      </c>
      <c r="AD130" s="109" t="e">
        <f t="shared" si="68"/>
        <v>#DIV/0!</v>
      </c>
    </row>
    <row r="131" spans="1:30" ht="14.25" hidden="1" x14ac:dyDescent="0.15">
      <c r="A131" s="48"/>
      <c r="B131" s="48"/>
      <c r="C131" s="31"/>
      <c r="G131" s="48">
        <f t="shared" si="63"/>
        <v>0</v>
      </c>
      <c r="H131" s="48">
        <f t="shared" si="58"/>
        <v>0</v>
      </c>
      <c r="I131" s="48">
        <f t="shared" si="58"/>
        <v>0</v>
      </c>
      <c r="J131" s="48">
        <f t="shared" si="59"/>
        <v>0</v>
      </c>
      <c r="K131" s="106">
        <f t="shared" si="60"/>
        <v>0</v>
      </c>
      <c r="L131" s="109" t="e">
        <f t="shared" si="60"/>
        <v>#DIV/0!</v>
      </c>
      <c r="M131" s="109" t="e">
        <f t="shared" si="60"/>
        <v>#DIV/0!</v>
      </c>
      <c r="N131" s="109" t="e">
        <f t="shared" si="60"/>
        <v>#DIV/0!</v>
      </c>
      <c r="O131" s="109" t="e">
        <f t="shared" si="60"/>
        <v>#DIV/0!</v>
      </c>
      <c r="P131" s="109" t="e">
        <f t="shared" si="60"/>
        <v>#DIV/0!</v>
      </c>
      <c r="Q131" s="109" t="e">
        <f t="shared" ref="Q131:AD132" si="69">Q74</f>
        <v>#DIV/0!</v>
      </c>
      <c r="R131" s="109" t="e">
        <f t="shared" si="69"/>
        <v>#DIV/0!</v>
      </c>
      <c r="S131" s="109" t="e">
        <f t="shared" si="69"/>
        <v>#DIV/0!</v>
      </c>
      <c r="T131" s="109" t="e">
        <f t="shared" si="69"/>
        <v>#DIV/0!</v>
      </c>
      <c r="U131" s="109" t="e">
        <f t="shared" si="69"/>
        <v>#DIV/0!</v>
      </c>
      <c r="V131" s="109" t="e">
        <f t="shared" si="69"/>
        <v>#DIV/0!</v>
      </c>
      <c r="W131" s="109" t="e">
        <f t="shared" si="69"/>
        <v>#DIV/0!</v>
      </c>
      <c r="X131" s="109" t="e">
        <f t="shared" si="69"/>
        <v>#DIV/0!</v>
      </c>
      <c r="Y131" s="109" t="e">
        <f t="shared" si="69"/>
        <v>#DIV/0!</v>
      </c>
      <c r="Z131" s="109" t="e">
        <f t="shared" si="69"/>
        <v>#DIV/0!</v>
      </c>
      <c r="AA131" s="109" t="e">
        <f t="shared" si="69"/>
        <v>#DIV/0!</v>
      </c>
      <c r="AB131" s="109" t="e">
        <f t="shared" si="69"/>
        <v>#DIV/0!</v>
      </c>
      <c r="AC131" s="109" t="e">
        <f t="shared" si="69"/>
        <v>#DIV/0!</v>
      </c>
      <c r="AD131" s="109" t="e">
        <f t="shared" si="69"/>
        <v>#DIV/0!</v>
      </c>
    </row>
    <row r="132" spans="1:30" ht="14.25" hidden="1" x14ac:dyDescent="0.15">
      <c r="A132" s="57"/>
      <c r="B132" s="57"/>
      <c r="C132" s="57"/>
      <c r="D132" s="62"/>
      <c r="E132" s="62"/>
      <c r="F132" s="62"/>
      <c r="G132" s="48">
        <f t="shared" si="63"/>
        <v>0</v>
      </c>
      <c r="H132" s="48">
        <f t="shared" si="58"/>
        <v>0</v>
      </c>
      <c r="I132" s="48">
        <f t="shared" si="58"/>
        <v>0</v>
      </c>
      <c r="J132" s="48">
        <f t="shared" si="59"/>
        <v>0</v>
      </c>
      <c r="K132" s="106">
        <f t="shared" si="60"/>
        <v>0</v>
      </c>
      <c r="L132" s="109" t="e">
        <f t="shared" si="60"/>
        <v>#DIV/0!</v>
      </c>
      <c r="M132" s="109" t="e">
        <f t="shared" si="60"/>
        <v>#DIV/0!</v>
      </c>
      <c r="N132" s="109" t="e">
        <f t="shared" si="60"/>
        <v>#DIV/0!</v>
      </c>
      <c r="O132" s="109" t="e">
        <f t="shared" si="60"/>
        <v>#DIV/0!</v>
      </c>
      <c r="P132" s="109" t="e">
        <f t="shared" si="60"/>
        <v>#DIV/0!</v>
      </c>
      <c r="Q132" s="109" t="e">
        <f t="shared" ref="Q132:AD132" si="70">Q75</f>
        <v>#DIV/0!</v>
      </c>
      <c r="R132" s="109" t="e">
        <f t="shared" si="70"/>
        <v>#DIV/0!</v>
      </c>
      <c r="S132" s="109" t="e">
        <f t="shared" si="70"/>
        <v>#DIV/0!</v>
      </c>
      <c r="T132" s="109" t="e">
        <f t="shared" si="70"/>
        <v>#DIV/0!</v>
      </c>
      <c r="U132" s="109" t="e">
        <f t="shared" si="70"/>
        <v>#DIV/0!</v>
      </c>
      <c r="V132" s="109" t="e">
        <f t="shared" si="70"/>
        <v>#DIV/0!</v>
      </c>
      <c r="W132" s="109" t="e">
        <f t="shared" si="70"/>
        <v>#DIV/0!</v>
      </c>
      <c r="X132" s="109" t="e">
        <f t="shared" si="70"/>
        <v>#DIV/0!</v>
      </c>
      <c r="Y132" s="109" t="e">
        <f t="shared" si="69"/>
        <v>#DIV/0!</v>
      </c>
      <c r="Z132" s="109" t="e">
        <f t="shared" si="69"/>
        <v>#DIV/0!</v>
      </c>
      <c r="AA132" s="109" t="e">
        <f t="shared" si="69"/>
        <v>#DIV/0!</v>
      </c>
      <c r="AB132" s="109" t="e">
        <f t="shared" si="70"/>
        <v>#DIV/0!</v>
      </c>
      <c r="AC132" s="109" t="e">
        <f t="shared" si="70"/>
        <v>#DIV/0!</v>
      </c>
      <c r="AD132" s="109" t="e">
        <f t="shared" si="70"/>
        <v>#DIV/0!</v>
      </c>
    </row>
    <row r="133" spans="1:30" ht="14.25" hidden="1" x14ac:dyDescent="0.15">
      <c r="G133" s="48">
        <f t="shared" si="63"/>
        <v>0</v>
      </c>
      <c r="H133" s="48">
        <f t="shared" si="58"/>
        <v>0</v>
      </c>
      <c r="I133" s="48">
        <f t="shared" si="58"/>
        <v>0</v>
      </c>
      <c r="J133" s="48">
        <f t="shared" si="59"/>
        <v>0</v>
      </c>
      <c r="K133" s="106">
        <f t="shared" si="60"/>
        <v>0</v>
      </c>
      <c r="L133" s="109" t="e">
        <f t="shared" si="60"/>
        <v>#DIV/0!</v>
      </c>
      <c r="M133" s="109" t="e">
        <f t="shared" si="60"/>
        <v>#DIV/0!</v>
      </c>
      <c r="N133" s="109" t="e">
        <f t="shared" si="60"/>
        <v>#DIV/0!</v>
      </c>
      <c r="O133" s="109" t="e">
        <f t="shared" si="60"/>
        <v>#DIV/0!</v>
      </c>
      <c r="P133" s="109" t="e">
        <f t="shared" si="60"/>
        <v>#DIV/0!</v>
      </c>
      <c r="Q133" s="109" t="e">
        <f t="shared" ref="Q133:AD133" si="71">Q76</f>
        <v>#DIV/0!</v>
      </c>
      <c r="R133" s="109" t="e">
        <f t="shared" si="71"/>
        <v>#DIV/0!</v>
      </c>
      <c r="S133" s="109" t="e">
        <f t="shared" si="71"/>
        <v>#DIV/0!</v>
      </c>
      <c r="T133" s="109" t="e">
        <f t="shared" si="71"/>
        <v>#DIV/0!</v>
      </c>
      <c r="U133" s="109" t="e">
        <f t="shared" si="71"/>
        <v>#DIV/0!</v>
      </c>
      <c r="V133" s="109" t="e">
        <f t="shared" si="71"/>
        <v>#DIV/0!</v>
      </c>
      <c r="W133" s="109" t="e">
        <f t="shared" si="71"/>
        <v>#DIV/0!</v>
      </c>
      <c r="X133" s="109" t="e">
        <f t="shared" si="71"/>
        <v>#DIV/0!</v>
      </c>
      <c r="Y133" s="108" t="s">
        <v>85</v>
      </c>
      <c r="Z133" s="108" t="s">
        <v>85</v>
      </c>
      <c r="AA133" s="108" t="s">
        <v>85</v>
      </c>
      <c r="AB133" s="109" t="e">
        <f t="shared" si="71"/>
        <v>#DIV/0!</v>
      </c>
      <c r="AC133" s="109" t="e">
        <f t="shared" si="71"/>
        <v>#DIV/0!</v>
      </c>
      <c r="AD133" s="109" t="e">
        <f t="shared" si="71"/>
        <v>#DIV/0!</v>
      </c>
    </row>
    <row r="134" spans="1:30" ht="14.25" hidden="1" x14ac:dyDescent="0.15">
      <c r="A134" s="62"/>
      <c r="B134" s="81"/>
      <c r="C134" s="81"/>
      <c r="D134" s="81"/>
      <c r="E134" s="81"/>
      <c r="F134" s="81"/>
      <c r="G134" s="48">
        <f t="shared" si="63"/>
        <v>0</v>
      </c>
      <c r="H134" s="48">
        <f t="shared" si="58"/>
        <v>0</v>
      </c>
      <c r="I134" s="48">
        <f t="shared" si="58"/>
        <v>0</v>
      </c>
      <c r="J134" s="48">
        <f t="shared" si="59"/>
        <v>0</v>
      </c>
      <c r="K134" s="106">
        <f t="shared" si="60"/>
        <v>0</v>
      </c>
      <c r="L134" s="109" t="e">
        <f t="shared" si="60"/>
        <v>#DIV/0!</v>
      </c>
      <c r="M134" s="109" t="e">
        <f t="shared" si="60"/>
        <v>#DIV/0!</v>
      </c>
      <c r="N134" s="109" t="e">
        <f t="shared" si="60"/>
        <v>#DIV/0!</v>
      </c>
      <c r="O134" s="109" t="e">
        <f t="shared" si="60"/>
        <v>#DIV/0!</v>
      </c>
      <c r="P134" s="109" t="e">
        <f t="shared" si="60"/>
        <v>#DIV/0!</v>
      </c>
      <c r="Q134" s="109" t="e">
        <f t="shared" ref="Q134:X134" si="72">Q77</f>
        <v>#DIV/0!</v>
      </c>
      <c r="R134" s="109" t="e">
        <f t="shared" si="72"/>
        <v>#DIV/0!</v>
      </c>
      <c r="S134" s="109" t="e">
        <f t="shared" si="72"/>
        <v>#DIV/0!</v>
      </c>
      <c r="T134" s="109" t="e">
        <f t="shared" si="72"/>
        <v>#DIV/0!</v>
      </c>
      <c r="U134" s="109" t="e">
        <f t="shared" si="72"/>
        <v>#DIV/0!</v>
      </c>
      <c r="V134" s="109" t="e">
        <f t="shared" si="72"/>
        <v>#DIV/0!</v>
      </c>
      <c r="W134" s="109" t="e">
        <f t="shared" si="72"/>
        <v>#DIV/0!</v>
      </c>
      <c r="X134" s="109" t="e">
        <f t="shared" si="72"/>
        <v>#DIV/0!</v>
      </c>
      <c r="Y134" s="108" t="s">
        <v>85</v>
      </c>
      <c r="Z134" s="108" t="s">
        <v>85</v>
      </c>
      <c r="AA134" s="108" t="s">
        <v>85</v>
      </c>
      <c r="AB134" s="108" t="s">
        <v>85</v>
      </c>
      <c r="AC134" s="108" t="s">
        <v>85</v>
      </c>
      <c r="AD134" s="108" t="s">
        <v>85</v>
      </c>
    </row>
    <row r="135" spans="1:30" ht="14.25" hidden="1" x14ac:dyDescent="0.15">
      <c r="A135" s="62"/>
      <c r="B135" s="81"/>
      <c r="C135" s="71"/>
      <c r="D135" s="71"/>
      <c r="E135" s="71"/>
      <c r="F135" s="81"/>
      <c r="G135" s="48">
        <f t="shared" si="63"/>
        <v>0</v>
      </c>
      <c r="H135" s="48">
        <f t="shared" si="58"/>
        <v>0</v>
      </c>
      <c r="I135" s="48">
        <f t="shared" si="58"/>
        <v>0</v>
      </c>
      <c r="J135" s="48">
        <f t="shared" si="59"/>
        <v>0</v>
      </c>
      <c r="K135" s="106">
        <f t="shared" si="60"/>
        <v>0</v>
      </c>
      <c r="L135" s="109" t="e">
        <f t="shared" si="60"/>
        <v>#DIV/0!</v>
      </c>
      <c r="M135" s="109" t="e">
        <f t="shared" si="60"/>
        <v>#DIV/0!</v>
      </c>
      <c r="N135" s="109" t="e">
        <f t="shared" si="60"/>
        <v>#DIV/0!</v>
      </c>
      <c r="O135" s="109" t="e">
        <f t="shared" si="60"/>
        <v>#DIV/0!</v>
      </c>
      <c r="P135" s="109" t="e">
        <f t="shared" si="60"/>
        <v>#DIV/0!</v>
      </c>
      <c r="Q135" s="109" t="e">
        <f t="shared" ref="Q135:X135" si="73">Q78</f>
        <v>#DIV/0!</v>
      </c>
      <c r="R135" s="109" t="e">
        <f t="shared" si="73"/>
        <v>#DIV/0!</v>
      </c>
      <c r="S135" s="109" t="e">
        <f t="shared" si="73"/>
        <v>#DIV/0!</v>
      </c>
      <c r="T135" s="109" t="e">
        <f t="shared" si="73"/>
        <v>#DIV/0!</v>
      </c>
      <c r="U135" s="109" t="e">
        <f t="shared" si="73"/>
        <v>#DIV/0!</v>
      </c>
      <c r="V135" s="109" t="e">
        <f t="shared" si="73"/>
        <v>#DIV/0!</v>
      </c>
      <c r="W135" s="109" t="e">
        <f t="shared" si="73"/>
        <v>#DIV/0!</v>
      </c>
      <c r="X135" s="109" t="e">
        <f t="shared" si="73"/>
        <v>#DIV/0!</v>
      </c>
      <c r="Y135" s="108" t="s">
        <v>85</v>
      </c>
      <c r="Z135" s="108" t="s">
        <v>85</v>
      </c>
      <c r="AA135" s="108" t="s">
        <v>85</v>
      </c>
      <c r="AB135" s="108" t="s">
        <v>85</v>
      </c>
      <c r="AC135" s="108" t="s">
        <v>85</v>
      </c>
      <c r="AD135" s="108" t="s">
        <v>85</v>
      </c>
    </row>
    <row r="136" spans="1:30" ht="14.25" hidden="1" x14ac:dyDescent="0.15">
      <c r="A136" s="62"/>
      <c r="B136" s="81"/>
      <c r="C136" s="71"/>
      <c r="D136" s="71"/>
      <c r="E136" s="71"/>
      <c r="F136" s="81"/>
      <c r="G136" s="48">
        <f>H136*I136</f>
        <v>0</v>
      </c>
      <c r="H136" s="48">
        <f t="shared" si="58"/>
        <v>0</v>
      </c>
      <c r="I136" s="48">
        <f t="shared" si="58"/>
        <v>0</v>
      </c>
      <c r="J136" s="48">
        <f>B14</f>
        <v>0</v>
      </c>
      <c r="K136" s="106">
        <f t="shared" si="60"/>
        <v>0</v>
      </c>
      <c r="L136" s="109" t="e">
        <f t="shared" si="60"/>
        <v>#DIV/0!</v>
      </c>
      <c r="M136" s="109" t="e">
        <f t="shared" si="60"/>
        <v>#DIV/0!</v>
      </c>
      <c r="N136" s="109" t="e">
        <f t="shared" si="60"/>
        <v>#DIV/0!</v>
      </c>
      <c r="O136" s="109" t="e">
        <f t="shared" si="60"/>
        <v>#DIV/0!</v>
      </c>
      <c r="P136" s="109" t="e">
        <f t="shared" si="60"/>
        <v>#DIV/0!</v>
      </c>
      <c r="Q136" s="109" t="e">
        <f t="shared" ref="Q136:X136" si="74">Q79</f>
        <v>#DIV/0!</v>
      </c>
      <c r="R136" s="109" t="e">
        <f t="shared" si="74"/>
        <v>#DIV/0!</v>
      </c>
      <c r="S136" s="109" t="e">
        <f t="shared" si="74"/>
        <v>#DIV/0!</v>
      </c>
      <c r="T136" s="109" t="e">
        <f t="shared" si="74"/>
        <v>#DIV/0!</v>
      </c>
      <c r="U136" s="109" t="e">
        <f t="shared" si="74"/>
        <v>#DIV/0!</v>
      </c>
      <c r="V136" s="109" t="e">
        <f t="shared" si="74"/>
        <v>#DIV/0!</v>
      </c>
      <c r="W136" s="109" t="e">
        <f t="shared" si="74"/>
        <v>#DIV/0!</v>
      </c>
      <c r="X136" s="109" t="e">
        <f t="shared" si="74"/>
        <v>#DIV/0!</v>
      </c>
      <c r="Y136" s="108" t="s">
        <v>85</v>
      </c>
      <c r="Z136" s="108" t="s">
        <v>85</v>
      </c>
      <c r="AA136" s="108" t="s">
        <v>85</v>
      </c>
      <c r="AB136" s="108" t="s">
        <v>85</v>
      </c>
      <c r="AC136" s="108" t="s">
        <v>85</v>
      </c>
      <c r="AD136" s="108" t="s">
        <v>85</v>
      </c>
    </row>
    <row r="137" spans="1:30" ht="14.25" hidden="1" x14ac:dyDescent="0.15">
      <c r="A137" s="62"/>
      <c r="B137" s="81"/>
      <c r="C137" s="71"/>
      <c r="D137" s="71"/>
      <c r="E137" s="71"/>
      <c r="F137" s="81"/>
      <c r="G137" s="48"/>
      <c r="H137" s="48"/>
      <c r="I137" s="48"/>
      <c r="J137" s="48"/>
      <c r="K137" s="48"/>
      <c r="L137" s="48"/>
      <c r="M137" s="48"/>
      <c r="N137" s="48"/>
      <c r="O137" s="48"/>
      <c r="P137" s="48"/>
      <c r="Q137" s="48"/>
      <c r="R137" s="48"/>
      <c r="S137" s="48"/>
      <c r="T137" s="48"/>
      <c r="U137" s="48"/>
      <c r="V137" s="48"/>
      <c r="W137" s="48"/>
    </row>
    <row r="138" spans="1:30" ht="14.25" hidden="1" x14ac:dyDescent="0.15">
      <c r="A138" s="62"/>
      <c r="B138" s="81"/>
      <c r="C138" s="71"/>
      <c r="D138" s="71"/>
      <c r="E138" s="71"/>
      <c r="F138" s="81"/>
      <c r="G138" s="48"/>
      <c r="H138" s="48"/>
      <c r="I138" s="48"/>
      <c r="J138" s="48"/>
      <c r="K138" s="48"/>
      <c r="L138" s="48"/>
      <c r="M138" s="48"/>
      <c r="N138" s="48"/>
      <c r="O138" s="48"/>
      <c r="P138" s="66">
        <v>0.92</v>
      </c>
      <c r="Q138" s="66">
        <v>1.08</v>
      </c>
      <c r="R138" s="48"/>
      <c r="S138" s="48"/>
      <c r="T138" s="48"/>
      <c r="U138" s="48"/>
      <c r="V138" s="48"/>
      <c r="W138" s="48"/>
    </row>
    <row r="139" spans="1:30" ht="15" hidden="1" x14ac:dyDescent="0.15">
      <c r="A139" s="62"/>
      <c r="B139" s="81"/>
      <c r="C139" s="71"/>
      <c r="D139" s="141" t="str">
        <f t="shared" ref="D139:E141" si="75">D71</f>
        <v>lm(%,@67.4533360933627C)</v>
      </c>
      <c r="E139" s="141">
        <f t="shared" si="75"/>
        <v>0.92150513751609653</v>
      </c>
      <c r="G139" s="48"/>
      <c r="H139" s="48" t="s">
        <v>51</v>
      </c>
      <c r="I139" s="48"/>
      <c r="J139" s="48"/>
      <c r="K139" s="62" t="str">
        <f>HLOOKUP(Simulator!$C$6,Calculation!L$122:V$136,2,FALSE)</f>
        <v>5000K Natural</v>
      </c>
      <c r="L139" s="62" t="s">
        <v>53</v>
      </c>
      <c r="M139" s="62" t="s">
        <v>27</v>
      </c>
      <c r="N139" s="76" t="s">
        <v>50</v>
      </c>
      <c r="O139" s="62" t="s">
        <v>74</v>
      </c>
      <c r="P139" s="75" t="s">
        <v>70</v>
      </c>
      <c r="Q139" s="75" t="s">
        <v>72</v>
      </c>
      <c r="R139" s="76" t="s">
        <v>55</v>
      </c>
      <c r="S139" s="74" t="s">
        <v>32</v>
      </c>
      <c r="T139" s="74"/>
      <c r="U139" s="74" t="s">
        <v>26</v>
      </c>
      <c r="V139" s="62" t="s">
        <v>56</v>
      </c>
      <c r="W139" s="62" t="s">
        <v>101</v>
      </c>
      <c r="X139" s="74" t="s">
        <v>8</v>
      </c>
      <c r="Y139" s="48"/>
    </row>
    <row r="140" spans="1:30" ht="15" hidden="1" x14ac:dyDescent="0.15">
      <c r="A140" s="62"/>
      <c r="B140" s="81"/>
      <c r="C140" s="71"/>
      <c r="D140" s="141"/>
      <c r="E140" s="141"/>
      <c r="G140" s="48"/>
      <c r="H140" s="55">
        <f>K140/G124</f>
        <v>62.376632549369575</v>
      </c>
      <c r="I140" s="48"/>
      <c r="J140" s="48" t="str">
        <f t="shared" ref="J140:J151" si="76">B2</f>
        <v>CLU701-0303C4</v>
      </c>
      <c r="K140" s="54">
        <f>HLOOKUP(Simulator!$C$6,Calculation!L$122:AD$136,3,FALSE)</f>
        <v>561.38969294432616</v>
      </c>
      <c r="L140" s="78">
        <f>E$127/I124</f>
        <v>116.66666666666667</v>
      </c>
      <c r="M140" s="78">
        <f>IF(K140="NA",FALSE,(B$123*$L140^3+B$124*$L140^2+B$125*$L140+B$126)*K140)</f>
        <v>394.30944049791174</v>
      </c>
      <c r="N140" s="133">
        <f>IF(M140=FALSE,FALSE,($E$123*$E$129^3+$E$124*$E$129^2+$E$125*$E$129+$E$126)*M140)</f>
        <v>363.35817518992326</v>
      </c>
      <c r="O140" s="78">
        <f t="shared" ref="O140:O152" si="77">(D$123*$L140^2+D$124*$L140+D$125)*K124</f>
        <v>9.2411559058258508</v>
      </c>
      <c r="P140" s="78">
        <f>R140*$P$138</f>
        <v>8.2516933420326612</v>
      </c>
      <c r="Q140" s="78">
        <f>R140*$Q$138</f>
        <v>9.6867704449948633</v>
      </c>
      <c r="R140" s="79">
        <f>(F$123*$E$129^2+F$124*$E$129+F$125)*O140</f>
        <v>8.9692318935137614</v>
      </c>
      <c r="S140" s="80">
        <f>(L140*I67)*R140/1000</f>
        <v>3.1392311627298164</v>
      </c>
      <c r="T140" s="80"/>
      <c r="U140" s="80">
        <f>N140/S140</f>
        <v>115.74750515471878</v>
      </c>
      <c r="V140" s="48">
        <f t="shared" ref="V140:V152" si="78">V83</f>
        <v>3.5</v>
      </c>
      <c r="W140" s="55">
        <f>S140*V140</f>
        <v>10.987309069554357</v>
      </c>
      <c r="X140" s="80">
        <f>IF(W140&lt;0,FALSE,E$129+W140)</f>
        <v>78.440645162917093</v>
      </c>
      <c r="Y140" s="48"/>
    </row>
    <row r="141" spans="1:30" ht="15" hidden="1" x14ac:dyDescent="0.15">
      <c r="A141" s="48"/>
      <c r="B141" s="48"/>
      <c r="C141" s="71"/>
      <c r="D141" s="141" t="str">
        <f t="shared" si="75"/>
        <v>lm</v>
      </c>
      <c r="E141" s="141">
        <f t="shared" si="75"/>
        <v>350</v>
      </c>
      <c r="G141" s="48"/>
      <c r="H141" s="55">
        <f t="shared" ref="H141:H152" si="79">K141/G125</f>
        <v>0</v>
      </c>
      <c r="I141" s="48"/>
      <c r="J141" s="48" t="str">
        <f t="shared" si="76"/>
        <v>CLU701-0304C4</v>
      </c>
      <c r="K141" s="54">
        <f>HLOOKUP(Simulator!$C$6,Calculation!L$122:AD$136,4,FALSE)</f>
        <v>0</v>
      </c>
      <c r="L141" s="78">
        <f>E$127/I125</f>
        <v>87.5</v>
      </c>
      <c r="M141" s="78">
        <f>IF(K141="NA",FALSE,(B$123*$L141^3+B$124*$L141^2+B$125*$L141+B$126)*K141)</f>
        <v>0</v>
      </c>
      <c r="N141" s="133">
        <f t="shared" ref="N141:N152" si="80">IF(M141=FALSE,FALSE,($E$123*$E$129^3+$E$124*$E$129^2+$E$125*$E$129+$E$126)*M141)</f>
        <v>0</v>
      </c>
      <c r="O141" s="78">
        <f t="shared" si="77"/>
        <v>8.9769084375140498</v>
      </c>
      <c r="P141" s="78">
        <f t="shared" ref="P141:P152" si="81">R141*$P$138</f>
        <v>8.0157391933159587</v>
      </c>
      <c r="Q141" s="78">
        <f t="shared" ref="Q141:Q152" si="82">R141*$Q$138</f>
        <v>9.4097807921535175</v>
      </c>
      <c r="R141" s="79">
        <f t="shared" ref="R141:R152" si="83">(F$123*$E$129^2+F$124*$E$129+F$125)*O141</f>
        <v>8.7127599927347372</v>
      </c>
      <c r="S141" s="80">
        <f t="shared" ref="S141:S152" si="84">(L141*I68)*R141/1000</f>
        <v>3.0494659974571583</v>
      </c>
      <c r="T141" s="80"/>
      <c r="U141" s="80">
        <f t="shared" ref="U141:U151" si="85">N141/S141</f>
        <v>0</v>
      </c>
      <c r="V141" s="48">
        <f t="shared" si="78"/>
        <v>2.7</v>
      </c>
      <c r="W141" s="55">
        <f t="shared" ref="W141:W151" si="86">S141*V141</f>
        <v>8.2335581931343285</v>
      </c>
      <c r="X141" s="80">
        <f t="shared" ref="X141:X152" si="87">IF(W141&lt;0,FALSE,E$129+W141)</f>
        <v>75.686894286497065</v>
      </c>
      <c r="Y141" s="48"/>
    </row>
    <row r="142" spans="1:30" ht="15" hidden="1" x14ac:dyDescent="0.15">
      <c r="A142" s="48"/>
      <c r="B142" s="65"/>
      <c r="C142" s="71"/>
      <c r="D142" s="141"/>
      <c r="E142" s="141"/>
      <c r="G142" s="48"/>
      <c r="H142" s="55">
        <f t="shared" si="79"/>
        <v>58.274227353113119</v>
      </c>
      <c r="I142" s="48"/>
      <c r="J142" s="48" t="str">
        <f t="shared" si="76"/>
        <v>CLU701-1002C4</v>
      </c>
      <c r="K142" s="54">
        <f>HLOOKUP(Simulator!$C$6,Calculation!L$122:AD$136,5,FALSE)</f>
        <v>1165.4845470622624</v>
      </c>
      <c r="L142" s="78">
        <f t="shared" ref="L142:L152" si="88">E$127/I126</f>
        <v>175</v>
      </c>
      <c r="M142" s="78">
        <f t="shared" ref="M142:M152" si="89">IF(K142="NA",FALSE,(B$123*$L142^3+B$124*$L142^2+B$125*$L142+B$126)*K142)</f>
        <v>1165.4845470622677</v>
      </c>
      <c r="N142" s="133">
        <f t="shared" si="80"/>
        <v>1073.9999978135004</v>
      </c>
      <c r="O142" s="78">
        <f t="shared" si="77"/>
        <v>32.283275854905824</v>
      </c>
      <c r="P142" s="78">
        <f t="shared" si="81"/>
        <v>28.826663584691861</v>
      </c>
      <c r="Q142" s="78">
        <f t="shared" si="82"/>
        <v>33.839996382029575</v>
      </c>
      <c r="R142" s="79">
        <f t="shared" si="83"/>
        <v>31.333329983360716</v>
      </c>
      <c r="S142" s="80">
        <f t="shared" si="84"/>
        <v>10.966665494176249</v>
      </c>
      <c r="T142" s="80"/>
      <c r="U142" s="80">
        <f t="shared" si="85"/>
        <v>97.93314097013706</v>
      </c>
      <c r="V142" s="48">
        <f t="shared" si="78"/>
        <v>1.6</v>
      </c>
      <c r="W142" s="55">
        <f t="shared" si="86"/>
        <v>17.546664790681998</v>
      </c>
      <c r="X142" s="80">
        <f t="shared" si="87"/>
        <v>85.000000884044738</v>
      </c>
      <c r="Y142" s="48"/>
    </row>
    <row r="143" spans="1:30" ht="15" hidden="1" x14ac:dyDescent="0.15">
      <c r="A143" s="48"/>
      <c r="B143" s="55"/>
      <c r="C143" s="71"/>
      <c r="D143" s="141" t="str">
        <f t="shared" ref="D143" si="90">D75</f>
        <v>Tc</v>
      </c>
      <c r="E143" s="141">
        <f>E75</f>
        <v>67.453336093362736</v>
      </c>
      <c r="G143" s="48"/>
      <c r="H143" s="55">
        <f t="shared" si="79"/>
        <v>58.084867793970538</v>
      </c>
      <c r="I143" s="48"/>
      <c r="J143" s="48" t="str">
        <f t="shared" si="76"/>
        <v>CLU711-1204C4</v>
      </c>
      <c r="K143" s="54">
        <f>HLOOKUP(Simulator!$C$6,Calculation!L$122:AD$136,6,FALSE)</f>
        <v>2788.0736541105857</v>
      </c>
      <c r="L143" s="78">
        <f t="shared" si="88"/>
        <v>87.5</v>
      </c>
      <c r="M143" s="78">
        <f t="shared" si="89"/>
        <v>1509.8778882995687</v>
      </c>
      <c r="N143" s="133">
        <f t="shared" si="80"/>
        <v>1391.3602310900073</v>
      </c>
      <c r="O143" s="78">
        <f t="shared" si="77"/>
        <v>35.771996961119619</v>
      </c>
      <c r="P143" s="78">
        <f t="shared" si="81"/>
        <v>31.941842791462371</v>
      </c>
      <c r="Q143" s="78">
        <f t="shared" si="82"/>
        <v>37.496945885629742</v>
      </c>
      <c r="R143" s="79">
        <f t="shared" si="83"/>
        <v>34.719394338546053</v>
      </c>
      <c r="S143" s="80">
        <f t="shared" si="84"/>
        <v>12.15178801849112</v>
      </c>
      <c r="T143" s="80"/>
      <c r="U143" s="80">
        <f t="shared" si="85"/>
        <v>114.49839554251636</v>
      </c>
      <c r="V143" s="48">
        <f t="shared" si="78"/>
        <v>0.91</v>
      </c>
      <c r="W143" s="55">
        <f t="shared" si="86"/>
        <v>11.058127096826919</v>
      </c>
      <c r="X143" s="80">
        <f t="shared" si="87"/>
        <v>78.511463190189659</v>
      </c>
      <c r="Y143" s="48"/>
    </row>
    <row r="144" spans="1:30" ht="15" hidden="1" x14ac:dyDescent="0.15">
      <c r="A144" s="48"/>
      <c r="B144" s="66"/>
      <c r="C144" s="71"/>
      <c r="D144" s="141"/>
      <c r="E144" s="141"/>
      <c r="F144" s="48"/>
      <c r="G144" s="48"/>
      <c r="H144" s="55">
        <f t="shared" si="79"/>
        <v>57.523236083028756</v>
      </c>
      <c r="I144" s="48"/>
      <c r="J144" s="48" t="str">
        <f t="shared" si="76"/>
        <v>CLU721-1206C4</v>
      </c>
      <c r="K144" s="54">
        <f>HLOOKUP(Simulator!$C$6,Calculation!L$122:AD$136,7,FALSE)</f>
        <v>4141.6729979780703</v>
      </c>
      <c r="L144" s="78">
        <f t="shared" si="88"/>
        <v>58.333333333333336</v>
      </c>
      <c r="M144" s="78">
        <f t="shared" si="89"/>
        <v>1538.9847639093282</v>
      </c>
      <c r="N144" s="133">
        <f t="shared" si="80"/>
        <v>1418.1823665014429</v>
      </c>
      <c r="O144" s="78">
        <f t="shared" si="77"/>
        <v>34.632171900093169</v>
      </c>
      <c r="P144" s="78">
        <f t="shared" si="81"/>
        <v>30.924060279945117</v>
      </c>
      <c r="Q144" s="78">
        <f t="shared" si="82"/>
        <v>36.302157719935572</v>
      </c>
      <c r="R144" s="79">
        <f>(F$123*$E$129^2+F$124*$E$129+F$125)*O144</f>
        <v>33.613108999940344</v>
      </c>
      <c r="S144" s="80">
        <f t="shared" si="84"/>
        <v>11.764588149979121</v>
      </c>
      <c r="T144" s="80"/>
      <c r="U144" s="80">
        <f t="shared" si="85"/>
        <v>120.54670749387515</v>
      </c>
      <c r="V144" s="63">
        <f t="shared" si="78"/>
        <v>0.6</v>
      </c>
      <c r="W144" s="55">
        <f t="shared" si="86"/>
        <v>7.0587528899874723</v>
      </c>
      <c r="X144" s="80">
        <f t="shared" si="87"/>
        <v>74.51208898335021</v>
      </c>
      <c r="Y144" s="48"/>
    </row>
    <row r="145" spans="1:25" ht="15" hidden="1" x14ac:dyDescent="0.15">
      <c r="A145" s="48"/>
      <c r="B145" s="48"/>
      <c r="C145" s="71"/>
      <c r="D145" s="141" t="str">
        <f t="shared" ref="D145:E145" si="91">D77</f>
        <v>lm Tc-compensation</v>
      </c>
      <c r="E145" s="141">
        <f t="shared" si="91"/>
        <v>379.81340065386922</v>
      </c>
      <c r="F145" s="48"/>
      <c r="G145" s="48"/>
      <c r="H145" s="55">
        <f t="shared" si="79"/>
        <v>57.082718044427615</v>
      </c>
      <c r="I145" s="48"/>
      <c r="J145" s="48" t="str">
        <f t="shared" si="76"/>
        <v>CLU731-1210C4</v>
      </c>
      <c r="K145" s="54">
        <f>HLOOKUP(Simulator!$C$6,Calculation!L$122:AD$136,8,FALSE)</f>
        <v>6849.9261653313142</v>
      </c>
      <c r="L145" s="78">
        <f t="shared" si="88"/>
        <v>35</v>
      </c>
      <c r="M145" s="78">
        <f t="shared" si="89"/>
        <v>1565.053419431699</v>
      </c>
      <c r="N145" s="133">
        <f t="shared" si="80"/>
        <v>1442.2047664934448</v>
      </c>
      <c r="O145" s="78">
        <f t="shared" si="77"/>
        <v>33.556668501264681</v>
      </c>
      <c r="P145" s="78">
        <f t="shared" si="81"/>
        <v>29.963712426723454</v>
      </c>
      <c r="Q145" s="78">
        <f t="shared" si="82"/>
        <v>35.174792848762316</v>
      </c>
      <c r="R145" s="79">
        <f t="shared" si="83"/>
        <v>32.569252637742885</v>
      </c>
      <c r="S145" s="80">
        <f t="shared" si="84"/>
        <v>11.39923842321001</v>
      </c>
      <c r="T145" s="80"/>
      <c r="U145" s="80">
        <f t="shared" si="85"/>
        <v>126.51764205203122</v>
      </c>
      <c r="V145" s="48">
        <f t="shared" si="78"/>
        <v>0.42</v>
      </c>
      <c r="W145" s="55">
        <f>S145*V145</f>
        <v>4.7876801377482039</v>
      </c>
      <c r="X145" s="80">
        <f t="shared" si="87"/>
        <v>72.241016231110933</v>
      </c>
      <c r="Y145" s="48"/>
    </row>
    <row r="146" spans="1:25" ht="15" hidden="1" x14ac:dyDescent="0.15">
      <c r="A146" s="48"/>
      <c r="B146" s="48"/>
      <c r="C146" s="71"/>
      <c r="D146" s="71"/>
      <c r="E146" s="71"/>
      <c r="F146" s="48"/>
      <c r="G146" s="48"/>
      <c r="H146" s="55" t="e">
        <f t="shared" si="79"/>
        <v>#DIV/0!</v>
      </c>
      <c r="I146" s="48"/>
      <c r="J146" s="48">
        <f t="shared" si="76"/>
        <v>0</v>
      </c>
      <c r="K146" s="54" t="e">
        <f>HLOOKUP(Simulator!$C$6,Calculation!L$122:AD$136,9,FALSE)</f>
        <v>#DIV/0!</v>
      </c>
      <c r="L146" s="78" t="e">
        <f t="shared" si="88"/>
        <v>#DIV/0!</v>
      </c>
      <c r="M146" s="78" t="e">
        <f t="shared" si="89"/>
        <v>#DIV/0!</v>
      </c>
      <c r="N146" s="133" t="e">
        <f t="shared" si="80"/>
        <v>#DIV/0!</v>
      </c>
      <c r="O146" s="78" t="e">
        <f t="shared" si="77"/>
        <v>#DIV/0!</v>
      </c>
      <c r="P146" s="78" t="e">
        <f t="shared" si="81"/>
        <v>#DIV/0!</v>
      </c>
      <c r="Q146" s="78" t="e">
        <f t="shared" si="82"/>
        <v>#DIV/0!</v>
      </c>
      <c r="R146" s="79" t="e">
        <f t="shared" si="83"/>
        <v>#DIV/0!</v>
      </c>
      <c r="S146" s="80" t="e">
        <f t="shared" si="84"/>
        <v>#DIV/0!</v>
      </c>
      <c r="T146" s="80"/>
      <c r="U146" s="80" t="e">
        <f t="shared" si="85"/>
        <v>#DIV/0!</v>
      </c>
      <c r="V146" s="48">
        <f t="shared" si="78"/>
        <v>0</v>
      </c>
      <c r="W146" s="55" t="e">
        <f t="shared" si="86"/>
        <v>#DIV/0!</v>
      </c>
      <c r="X146" s="80" t="e">
        <f t="shared" si="87"/>
        <v>#DIV/0!</v>
      </c>
      <c r="Y146" s="48"/>
    </row>
    <row r="147" spans="1:25" ht="15" hidden="1" x14ac:dyDescent="0.15">
      <c r="A147" s="48"/>
      <c r="B147" s="48"/>
      <c r="C147" s="71"/>
      <c r="D147" s="71"/>
      <c r="E147" s="71"/>
      <c r="F147" s="48"/>
      <c r="G147" s="48"/>
      <c r="H147" s="55" t="e">
        <f t="shared" si="79"/>
        <v>#DIV/0!</v>
      </c>
      <c r="I147" s="48"/>
      <c r="J147" s="48">
        <f t="shared" si="76"/>
        <v>0</v>
      </c>
      <c r="K147" s="54" t="e">
        <f>HLOOKUP(Simulator!$C$6,Calculation!L$122:AD$136,10,FALSE)</f>
        <v>#DIV/0!</v>
      </c>
      <c r="L147" s="78" t="e">
        <f t="shared" si="88"/>
        <v>#DIV/0!</v>
      </c>
      <c r="M147" s="78" t="e">
        <f t="shared" si="89"/>
        <v>#DIV/0!</v>
      </c>
      <c r="N147" s="133" t="e">
        <f t="shared" si="80"/>
        <v>#DIV/0!</v>
      </c>
      <c r="O147" s="78" t="e">
        <f t="shared" si="77"/>
        <v>#DIV/0!</v>
      </c>
      <c r="P147" s="78" t="e">
        <f t="shared" si="81"/>
        <v>#DIV/0!</v>
      </c>
      <c r="Q147" s="78" t="e">
        <f t="shared" si="82"/>
        <v>#DIV/0!</v>
      </c>
      <c r="R147" s="79" t="e">
        <f t="shared" si="83"/>
        <v>#DIV/0!</v>
      </c>
      <c r="S147" s="80" t="e">
        <f t="shared" si="84"/>
        <v>#DIV/0!</v>
      </c>
      <c r="T147" s="80"/>
      <c r="U147" s="80" t="e">
        <f t="shared" si="85"/>
        <v>#DIV/0!</v>
      </c>
      <c r="V147" s="48">
        <f t="shared" si="78"/>
        <v>0</v>
      </c>
      <c r="W147" s="55" t="e">
        <f t="shared" si="86"/>
        <v>#DIV/0!</v>
      </c>
      <c r="X147" s="80" t="e">
        <f t="shared" si="87"/>
        <v>#DIV/0!</v>
      </c>
      <c r="Y147" s="48"/>
    </row>
    <row r="148" spans="1:25" ht="15" hidden="1" x14ac:dyDescent="0.15">
      <c r="A148" s="48"/>
      <c r="B148" s="48"/>
      <c r="C148" s="48"/>
      <c r="D148" s="48"/>
      <c r="E148" s="48"/>
      <c r="F148" s="48"/>
      <c r="G148" s="48"/>
      <c r="H148" s="55" t="e">
        <f t="shared" si="79"/>
        <v>#DIV/0!</v>
      </c>
      <c r="I148" s="48"/>
      <c r="J148" s="48">
        <f t="shared" si="76"/>
        <v>0</v>
      </c>
      <c r="K148" s="54" t="e">
        <f>HLOOKUP(Simulator!$C$6,Calculation!L$122:AD$136,11,FALSE)</f>
        <v>#DIV/0!</v>
      </c>
      <c r="L148" s="78" t="e">
        <f t="shared" si="88"/>
        <v>#DIV/0!</v>
      </c>
      <c r="M148" s="78" t="e">
        <f t="shared" si="89"/>
        <v>#DIV/0!</v>
      </c>
      <c r="N148" s="133" t="e">
        <f t="shared" si="80"/>
        <v>#DIV/0!</v>
      </c>
      <c r="O148" s="78" t="e">
        <f t="shared" si="77"/>
        <v>#DIV/0!</v>
      </c>
      <c r="P148" s="78" t="e">
        <f t="shared" si="81"/>
        <v>#DIV/0!</v>
      </c>
      <c r="Q148" s="78" t="e">
        <f t="shared" si="82"/>
        <v>#DIV/0!</v>
      </c>
      <c r="R148" s="79" t="e">
        <f t="shared" si="83"/>
        <v>#DIV/0!</v>
      </c>
      <c r="S148" s="80" t="e">
        <f t="shared" si="84"/>
        <v>#DIV/0!</v>
      </c>
      <c r="T148" s="80"/>
      <c r="U148" s="80" t="e">
        <f t="shared" si="85"/>
        <v>#DIV/0!</v>
      </c>
      <c r="V148" s="48">
        <f t="shared" si="78"/>
        <v>0</v>
      </c>
      <c r="W148" s="55" t="e">
        <f t="shared" si="86"/>
        <v>#DIV/0!</v>
      </c>
      <c r="X148" s="80" t="e">
        <f t="shared" si="87"/>
        <v>#DIV/0!</v>
      </c>
      <c r="Y148" s="48"/>
    </row>
    <row r="149" spans="1:25" ht="15" hidden="1" x14ac:dyDescent="0.15">
      <c r="A149" s="48"/>
      <c r="B149" s="48"/>
      <c r="C149" s="48"/>
      <c r="D149" s="48"/>
      <c r="E149" s="48"/>
      <c r="F149" s="48"/>
      <c r="G149" s="48"/>
      <c r="H149" s="55" t="e">
        <f t="shared" si="79"/>
        <v>#DIV/0!</v>
      </c>
      <c r="I149" s="48"/>
      <c r="J149" s="48">
        <f t="shared" si="76"/>
        <v>0</v>
      </c>
      <c r="K149" s="54" t="e">
        <f>HLOOKUP(Simulator!$C$6,Calculation!L$122:AD$136,12,FALSE)</f>
        <v>#DIV/0!</v>
      </c>
      <c r="L149" s="78" t="e">
        <f t="shared" si="88"/>
        <v>#DIV/0!</v>
      </c>
      <c r="M149" s="78" t="e">
        <f t="shared" si="89"/>
        <v>#DIV/0!</v>
      </c>
      <c r="N149" s="133" t="e">
        <f t="shared" si="80"/>
        <v>#DIV/0!</v>
      </c>
      <c r="O149" s="78" t="e">
        <f t="shared" si="77"/>
        <v>#DIV/0!</v>
      </c>
      <c r="P149" s="78" t="e">
        <f t="shared" si="81"/>
        <v>#DIV/0!</v>
      </c>
      <c r="Q149" s="78" t="e">
        <f t="shared" si="82"/>
        <v>#DIV/0!</v>
      </c>
      <c r="R149" s="79" t="e">
        <f t="shared" si="83"/>
        <v>#DIV/0!</v>
      </c>
      <c r="S149" s="80" t="e">
        <f t="shared" si="84"/>
        <v>#DIV/0!</v>
      </c>
      <c r="T149" s="80"/>
      <c r="U149" s="80" t="e">
        <f t="shared" si="85"/>
        <v>#DIV/0!</v>
      </c>
      <c r="V149" s="48">
        <f t="shared" si="78"/>
        <v>0</v>
      </c>
      <c r="W149" s="55" t="e">
        <f t="shared" si="86"/>
        <v>#DIV/0!</v>
      </c>
      <c r="X149" s="80" t="e">
        <f t="shared" si="87"/>
        <v>#DIV/0!</v>
      </c>
      <c r="Y149" s="64"/>
    </row>
    <row r="150" spans="1:25" ht="15" hidden="1" x14ac:dyDescent="0.15">
      <c r="A150" s="48"/>
      <c r="B150" s="48"/>
      <c r="C150" s="48"/>
      <c r="D150" s="48"/>
      <c r="E150" s="48"/>
      <c r="F150" s="48"/>
      <c r="G150" s="48"/>
      <c r="H150" s="55" t="e">
        <f t="shared" si="79"/>
        <v>#DIV/0!</v>
      </c>
      <c r="I150" s="48"/>
      <c r="J150" s="48">
        <f t="shared" si="76"/>
        <v>0</v>
      </c>
      <c r="K150" s="54" t="e">
        <f>HLOOKUP(Simulator!$C$6,Calculation!L$122:AD$136,13,FALSE)</f>
        <v>#DIV/0!</v>
      </c>
      <c r="L150" s="78" t="e">
        <f t="shared" si="88"/>
        <v>#DIV/0!</v>
      </c>
      <c r="M150" s="78" t="e">
        <f t="shared" si="89"/>
        <v>#DIV/0!</v>
      </c>
      <c r="N150" s="133" t="e">
        <f t="shared" si="80"/>
        <v>#DIV/0!</v>
      </c>
      <c r="O150" s="78" t="e">
        <f t="shared" si="77"/>
        <v>#DIV/0!</v>
      </c>
      <c r="P150" s="78" t="e">
        <f t="shared" si="81"/>
        <v>#DIV/0!</v>
      </c>
      <c r="Q150" s="78" t="e">
        <f t="shared" si="82"/>
        <v>#DIV/0!</v>
      </c>
      <c r="R150" s="79" t="e">
        <f t="shared" si="83"/>
        <v>#DIV/0!</v>
      </c>
      <c r="S150" s="80" t="e">
        <f t="shared" si="84"/>
        <v>#DIV/0!</v>
      </c>
      <c r="T150" s="80"/>
      <c r="U150" s="80" t="e">
        <f t="shared" si="85"/>
        <v>#DIV/0!</v>
      </c>
      <c r="V150" s="48">
        <f t="shared" si="78"/>
        <v>0</v>
      </c>
      <c r="W150" s="55" t="e">
        <f t="shared" si="86"/>
        <v>#DIV/0!</v>
      </c>
      <c r="X150" s="80" t="e">
        <f t="shared" si="87"/>
        <v>#DIV/0!</v>
      </c>
      <c r="Y150" s="48"/>
    </row>
    <row r="151" spans="1:25" ht="15" hidden="1" x14ac:dyDescent="0.15">
      <c r="A151" s="48"/>
      <c r="B151" s="48"/>
      <c r="C151" s="48"/>
      <c r="D151" s="48"/>
      <c r="E151" s="48"/>
      <c r="F151" s="48"/>
      <c r="G151" s="48"/>
      <c r="H151" s="55" t="e">
        <f t="shared" si="79"/>
        <v>#DIV/0!</v>
      </c>
      <c r="I151" s="48"/>
      <c r="J151" s="48">
        <f t="shared" si="76"/>
        <v>0</v>
      </c>
      <c r="K151" s="54" t="e">
        <f>HLOOKUP(Simulator!$C$6,Calculation!L$122:AD$136,14,FALSE)</f>
        <v>#DIV/0!</v>
      </c>
      <c r="L151" s="78" t="e">
        <f t="shared" si="88"/>
        <v>#DIV/0!</v>
      </c>
      <c r="M151" s="78" t="e">
        <f t="shared" si="89"/>
        <v>#DIV/0!</v>
      </c>
      <c r="N151" s="133" t="e">
        <f t="shared" si="80"/>
        <v>#DIV/0!</v>
      </c>
      <c r="O151" s="78" t="e">
        <f>(D$123*$L151^2+D$124*$L151+D$125)*K135</f>
        <v>#DIV/0!</v>
      </c>
      <c r="P151" s="78" t="e">
        <f t="shared" si="81"/>
        <v>#DIV/0!</v>
      </c>
      <c r="Q151" s="78" t="e">
        <f t="shared" si="82"/>
        <v>#DIV/0!</v>
      </c>
      <c r="R151" s="79" t="e">
        <f t="shared" si="83"/>
        <v>#DIV/0!</v>
      </c>
      <c r="S151" s="80" t="e">
        <f t="shared" si="84"/>
        <v>#DIV/0!</v>
      </c>
      <c r="T151" s="80"/>
      <c r="U151" s="80" t="e">
        <f t="shared" si="85"/>
        <v>#DIV/0!</v>
      </c>
      <c r="V151" s="48">
        <f t="shared" si="78"/>
        <v>0</v>
      </c>
      <c r="W151" s="55" t="e">
        <f t="shared" si="86"/>
        <v>#DIV/0!</v>
      </c>
      <c r="X151" s="80" t="e">
        <f t="shared" si="87"/>
        <v>#DIV/0!</v>
      </c>
      <c r="Y151" s="64"/>
    </row>
    <row r="152" spans="1:25" ht="15" hidden="1" x14ac:dyDescent="0.15">
      <c r="A152" s="48"/>
      <c r="B152" s="48"/>
      <c r="C152" s="48"/>
      <c r="D152" s="48"/>
      <c r="E152" s="48"/>
      <c r="F152" s="48"/>
      <c r="G152" s="48"/>
      <c r="H152" s="55" t="e">
        <f t="shared" si="79"/>
        <v>#DIV/0!</v>
      </c>
      <c r="I152" s="48"/>
      <c r="J152" s="48">
        <f>B14</f>
        <v>0</v>
      </c>
      <c r="K152" s="54" t="e">
        <f>HLOOKUP(Simulator!$C$6,Calculation!L$122:AD$136,15,FALSE)</f>
        <v>#DIV/0!</v>
      </c>
      <c r="L152" s="78" t="e">
        <f t="shared" si="88"/>
        <v>#DIV/0!</v>
      </c>
      <c r="M152" s="78" t="e">
        <f t="shared" si="89"/>
        <v>#DIV/0!</v>
      </c>
      <c r="N152" s="133" t="e">
        <f t="shared" si="80"/>
        <v>#DIV/0!</v>
      </c>
      <c r="O152" s="78" t="e">
        <f t="shared" si="77"/>
        <v>#DIV/0!</v>
      </c>
      <c r="P152" s="78" t="e">
        <f t="shared" si="81"/>
        <v>#DIV/0!</v>
      </c>
      <c r="Q152" s="78" t="e">
        <f t="shared" si="82"/>
        <v>#DIV/0!</v>
      </c>
      <c r="R152" s="79" t="e">
        <f t="shared" si="83"/>
        <v>#DIV/0!</v>
      </c>
      <c r="S152" s="80" t="e">
        <f t="shared" si="84"/>
        <v>#DIV/0!</v>
      </c>
      <c r="T152" s="80"/>
      <c r="U152" s="80" t="e">
        <f>N152/S152</f>
        <v>#DIV/0!</v>
      </c>
      <c r="V152" s="48">
        <f t="shared" si="78"/>
        <v>0</v>
      </c>
      <c r="W152" s="55" t="e">
        <f>S152*V152</f>
        <v>#DIV/0!</v>
      </c>
      <c r="X152" s="80" t="e">
        <f t="shared" si="87"/>
        <v>#DIV/0!</v>
      </c>
      <c r="Y152" s="64"/>
    </row>
    <row r="153" spans="1:25" ht="14.25" hidden="1" x14ac:dyDescent="0.15">
      <c r="A153" s="48"/>
      <c r="B153" s="48"/>
      <c r="C153" s="48"/>
      <c r="D153" s="48"/>
      <c r="E153" s="48"/>
      <c r="F153" s="48"/>
      <c r="G153" s="48"/>
      <c r="H153" s="48"/>
      <c r="I153" s="48"/>
      <c r="J153" s="48"/>
      <c r="K153" s="48"/>
      <c r="L153" s="48"/>
      <c r="M153" s="48"/>
      <c r="N153" s="48"/>
      <c r="O153" s="48"/>
      <c r="P153" s="48"/>
      <c r="Q153" s="48"/>
      <c r="R153" s="48"/>
      <c r="S153" s="48"/>
      <c r="T153" s="48"/>
      <c r="U153" s="48"/>
      <c r="V153" s="48"/>
      <c r="W153" s="48"/>
    </row>
    <row r="154" spans="1:25" ht="15" hidden="1" x14ac:dyDescent="0.15">
      <c r="A154" s="48"/>
      <c r="B154" s="48"/>
      <c r="C154" s="48"/>
      <c r="D154" s="48"/>
      <c r="E154" s="48"/>
      <c r="F154" s="48"/>
      <c r="G154" s="48"/>
      <c r="H154" s="48"/>
      <c r="I154" s="48"/>
      <c r="J154" s="48"/>
      <c r="K154" s="55"/>
      <c r="L154" s="55"/>
      <c r="M154" s="55"/>
      <c r="N154" s="48"/>
      <c r="O154" s="78"/>
      <c r="P154" s="74" t="s">
        <v>6</v>
      </c>
      <c r="Q154" s="74" t="s">
        <v>5</v>
      </c>
      <c r="R154" s="74"/>
      <c r="S154" s="74"/>
      <c r="T154" s="74"/>
      <c r="U154" s="48"/>
      <c r="V154" s="48"/>
      <c r="W154" s="48"/>
    </row>
    <row r="155" spans="1:25" ht="15" hidden="1" x14ac:dyDescent="0.15">
      <c r="A155" s="48"/>
      <c r="B155" s="48"/>
      <c r="C155" s="48"/>
      <c r="D155" s="48"/>
      <c r="E155" s="48"/>
      <c r="F155" s="48"/>
      <c r="G155" s="48"/>
      <c r="H155" s="48"/>
      <c r="I155" s="48"/>
      <c r="J155" s="48"/>
      <c r="K155" s="55"/>
      <c r="L155" s="55"/>
      <c r="M155" s="55"/>
      <c r="N155" s="48"/>
      <c r="O155" s="78"/>
      <c r="P155" s="53"/>
      <c r="Q155" s="53">
        <f>$C$50</f>
        <v>5</v>
      </c>
      <c r="R155" s="53"/>
      <c r="S155" s="53"/>
      <c r="T155" s="53"/>
      <c r="U155" s="48"/>
      <c r="V155" s="48"/>
      <c r="W155" s="48"/>
    </row>
    <row r="156" spans="1:25" ht="15" hidden="1" x14ac:dyDescent="0.15">
      <c r="A156" s="48"/>
      <c r="B156" s="48"/>
      <c r="C156" s="48"/>
      <c r="D156" s="48"/>
      <c r="E156" s="48"/>
      <c r="F156" s="48"/>
      <c r="G156" s="48"/>
      <c r="H156" s="48"/>
      <c r="I156" s="48"/>
      <c r="J156" s="48"/>
      <c r="K156" s="55"/>
      <c r="L156" s="55"/>
      <c r="M156" s="55"/>
      <c r="N156" s="48"/>
      <c r="O156" s="78"/>
      <c r="P156" s="53"/>
      <c r="Q156" s="53"/>
      <c r="R156" s="53"/>
      <c r="S156" s="53"/>
      <c r="T156" s="53"/>
      <c r="U156" s="48"/>
      <c r="V156" s="48"/>
      <c r="W156" s="48"/>
    </row>
    <row r="157" spans="1:25" ht="15" hidden="1" x14ac:dyDescent="0.15">
      <c r="A157" s="48"/>
      <c r="B157" s="48"/>
      <c r="C157" s="48"/>
      <c r="D157" s="48"/>
      <c r="E157" s="48"/>
      <c r="F157" s="48"/>
      <c r="G157" s="48"/>
      <c r="H157" s="48"/>
      <c r="I157" s="48"/>
      <c r="J157" s="48"/>
      <c r="K157" s="55"/>
      <c r="L157" s="55"/>
      <c r="M157" s="55"/>
      <c r="N157" s="48"/>
      <c r="O157" s="78"/>
      <c r="P157" s="74" t="s">
        <v>65</v>
      </c>
      <c r="Q157" s="74" t="s">
        <v>4</v>
      </c>
      <c r="R157" s="74"/>
      <c r="S157" s="74" t="s">
        <v>5</v>
      </c>
      <c r="T157" s="53"/>
      <c r="U157" s="48"/>
      <c r="V157" s="48"/>
      <c r="W157" s="48"/>
    </row>
    <row r="158" spans="1:25" ht="15" hidden="1" x14ac:dyDescent="0.15">
      <c r="A158" s="48"/>
      <c r="B158" s="48"/>
      <c r="C158" s="48"/>
      <c r="D158" s="48"/>
      <c r="E158" s="48"/>
      <c r="F158" s="48"/>
      <c r="G158" s="48"/>
      <c r="H158" s="48"/>
      <c r="I158" s="48"/>
      <c r="J158" s="48"/>
      <c r="K158" s="55"/>
      <c r="L158" s="55"/>
      <c r="M158" s="55"/>
      <c r="N158" s="48"/>
      <c r="O158" s="78"/>
      <c r="P158" s="53"/>
      <c r="Q158" s="53">
        <f>$C$52</f>
        <v>105</v>
      </c>
      <c r="R158" s="53"/>
      <c r="S158" s="53">
        <f>$D$52</f>
        <v>-40</v>
      </c>
      <c r="T158" s="53"/>
      <c r="U158" s="48"/>
      <c r="V158" s="48"/>
      <c r="W158" s="48"/>
    </row>
    <row r="159" spans="1:25" ht="15" hidden="1" x14ac:dyDescent="0.15">
      <c r="A159" s="48"/>
      <c r="B159" s="48"/>
      <c r="C159" s="48"/>
      <c r="D159" s="48"/>
      <c r="E159" s="48"/>
      <c r="F159" s="48"/>
      <c r="G159" s="48"/>
      <c r="H159" s="48"/>
      <c r="I159" s="48"/>
      <c r="J159" s="48"/>
      <c r="K159" s="55"/>
      <c r="L159" s="55"/>
      <c r="M159" s="55"/>
      <c r="N159" s="48"/>
      <c r="O159" s="78"/>
      <c r="P159" s="53"/>
      <c r="Q159" s="53"/>
      <c r="R159" s="53"/>
      <c r="S159" s="53"/>
      <c r="T159" s="53"/>
      <c r="U159" s="48"/>
      <c r="V159" s="48"/>
      <c r="W159" s="48"/>
    </row>
    <row r="160" spans="1:25" ht="15" hidden="1" x14ac:dyDescent="0.15">
      <c r="A160" s="48"/>
      <c r="B160" s="48"/>
      <c r="C160" s="48"/>
      <c r="D160" s="48"/>
      <c r="E160" s="48"/>
      <c r="F160" s="48"/>
      <c r="G160" s="48"/>
      <c r="H160" s="48"/>
      <c r="I160" s="48"/>
      <c r="J160" s="48"/>
      <c r="K160" s="55"/>
      <c r="L160" s="55"/>
      <c r="M160" s="55"/>
      <c r="N160" s="48"/>
      <c r="O160" s="78"/>
      <c r="P160" s="74" t="s">
        <v>7</v>
      </c>
      <c r="Q160" s="74" t="s">
        <v>4</v>
      </c>
      <c r="R160" s="74"/>
      <c r="S160" s="74" t="s">
        <v>5</v>
      </c>
      <c r="T160" s="53"/>
      <c r="U160" s="48"/>
      <c r="V160" s="48"/>
      <c r="W160" s="48"/>
    </row>
    <row r="161" spans="1:25" ht="15" hidden="1" x14ac:dyDescent="0.15">
      <c r="A161" s="48"/>
      <c r="B161" s="48"/>
      <c r="C161" s="48"/>
      <c r="D161" s="48"/>
      <c r="E161" s="48"/>
      <c r="F161" s="48"/>
      <c r="G161" s="48"/>
      <c r="H161" s="48"/>
      <c r="I161" s="48"/>
      <c r="J161" s="48"/>
      <c r="K161" s="55"/>
      <c r="L161" s="55"/>
      <c r="M161" s="55"/>
      <c r="N161" s="48"/>
      <c r="O161" s="78"/>
      <c r="P161" s="53"/>
      <c r="Q161" s="53">
        <f>$C$54</f>
        <v>140</v>
      </c>
      <c r="R161" s="53"/>
      <c r="S161" s="53">
        <f>$D$54</f>
        <v>-25</v>
      </c>
      <c r="T161" s="53"/>
      <c r="U161" s="48"/>
      <c r="V161" s="48"/>
      <c r="W161" s="48"/>
    </row>
    <row r="162" spans="1:25" ht="15" hidden="1" x14ac:dyDescent="0.15">
      <c r="A162" s="48"/>
      <c r="B162" s="48"/>
      <c r="C162" s="48"/>
      <c r="D162" s="48"/>
      <c r="E162" s="48"/>
      <c r="F162" s="48"/>
      <c r="G162" s="48"/>
      <c r="H162" s="48"/>
      <c r="I162" s="48"/>
      <c r="J162" s="48"/>
      <c r="K162" s="48"/>
      <c r="L162" s="48"/>
      <c r="M162" s="48"/>
      <c r="N162" s="48"/>
      <c r="O162" s="78"/>
      <c r="P162" s="53"/>
      <c r="Q162" s="53"/>
      <c r="R162" s="53"/>
      <c r="S162" s="53"/>
      <c r="T162" s="53"/>
      <c r="U162" s="48"/>
      <c r="V162" s="48"/>
      <c r="W162" s="48"/>
    </row>
    <row r="163" spans="1:25" ht="15" hidden="1" x14ac:dyDescent="0.15">
      <c r="A163" s="48"/>
      <c r="B163" s="48"/>
      <c r="C163" s="48"/>
      <c r="D163" s="48"/>
      <c r="E163" s="48"/>
      <c r="F163" s="48"/>
      <c r="G163" s="48"/>
      <c r="H163" s="48"/>
      <c r="I163" s="48"/>
      <c r="J163" s="48"/>
      <c r="K163" s="48"/>
      <c r="L163" s="55"/>
      <c r="M163" s="70"/>
      <c r="N163" s="48"/>
      <c r="O163" s="78"/>
      <c r="P163" s="53"/>
      <c r="Q163" s="53" t="s">
        <v>65</v>
      </c>
      <c r="R163" s="53" t="s">
        <v>6</v>
      </c>
      <c r="S163" s="53"/>
      <c r="T163" s="53"/>
      <c r="U163" s="53"/>
      <c r="V163" s="53" t="s">
        <v>7</v>
      </c>
      <c r="W163" s="53" t="s">
        <v>57</v>
      </c>
      <c r="X163" s="49" t="s">
        <v>88</v>
      </c>
      <c r="Y163" s="49" t="s">
        <v>90</v>
      </c>
    </row>
    <row r="164" spans="1:25" ht="15" hidden="1" x14ac:dyDescent="0.15">
      <c r="A164" s="48"/>
      <c r="B164" s="48"/>
      <c r="C164" s="48"/>
      <c r="D164" s="48"/>
      <c r="E164" s="48"/>
      <c r="F164" s="48"/>
      <c r="G164" s="48"/>
      <c r="H164" s="48"/>
      <c r="I164" s="48"/>
      <c r="J164" s="48"/>
      <c r="K164" s="48" t="s">
        <v>36</v>
      </c>
      <c r="M164" s="70"/>
      <c r="N164" s="55" t="s">
        <v>38</v>
      </c>
      <c r="O164" s="78"/>
      <c r="P164" s="53"/>
      <c r="Q164" s="53" t="s">
        <v>3</v>
      </c>
      <c r="R164" s="53" t="s">
        <v>37</v>
      </c>
      <c r="S164" s="53"/>
      <c r="T164" s="53" t="s">
        <v>38</v>
      </c>
      <c r="U164" s="53" t="s">
        <v>58</v>
      </c>
      <c r="V164" s="53" t="s">
        <v>3</v>
      </c>
      <c r="W164" s="53" t="s">
        <v>59</v>
      </c>
      <c r="X164" s="49" t="s">
        <v>89</v>
      </c>
      <c r="Y164" s="53" t="s">
        <v>3</v>
      </c>
    </row>
    <row r="165" spans="1:25" ht="15" hidden="1" x14ac:dyDescent="0.2">
      <c r="A165" s="48"/>
      <c r="B165" s="48"/>
      <c r="C165" s="48"/>
      <c r="D165" s="48"/>
      <c r="E165" s="48"/>
      <c r="F165" s="48"/>
      <c r="G165" s="48"/>
      <c r="H165" s="48"/>
      <c r="I165" s="48"/>
      <c r="J165" s="48"/>
      <c r="K165" s="48"/>
      <c r="L165" s="140">
        <f>L108</f>
        <v>690</v>
      </c>
      <c r="M165" s="114">
        <f>L165</f>
        <v>690</v>
      </c>
      <c r="N165" s="63">
        <f>IF(L165&gt;=M165,M165,L165)</f>
        <v>690</v>
      </c>
      <c r="O165" s="78"/>
      <c r="P165" s="48" t="str">
        <f>P108</f>
        <v>CLU701-0303C4</v>
      </c>
      <c r="Q165" s="53" t="b">
        <f>AND(S$158&lt;=$E$75,Q$158&gt;=$E$143)</f>
        <v>1</v>
      </c>
      <c r="R165" s="48">
        <f>Q$155</f>
        <v>5</v>
      </c>
      <c r="S165" s="48"/>
      <c r="T165" s="63">
        <f>N165/I124</f>
        <v>230</v>
      </c>
      <c r="U165" s="53" t="b">
        <f>AND(Q165,R165&lt;=L140,T165&gt;=L140)</f>
        <v>1</v>
      </c>
      <c r="V165" s="53" t="b">
        <f>AND(Q165,S$161&lt;X140,Q$161&gt;X140)</f>
        <v>1</v>
      </c>
      <c r="W165" s="53" t="b">
        <f>AND(U165,Q165,V165)</f>
        <v>1</v>
      </c>
      <c r="X165" s="49" t="b">
        <f>AND(M140*1)</f>
        <v>1</v>
      </c>
      <c r="Y165" s="49" t="b">
        <f>AND(W165,X165)</f>
        <v>1</v>
      </c>
    </row>
    <row r="166" spans="1:25" ht="15" hidden="1" x14ac:dyDescent="0.2">
      <c r="A166" s="48"/>
      <c r="B166" s="48"/>
      <c r="C166" s="48"/>
      <c r="D166" s="48"/>
      <c r="E166" s="48"/>
      <c r="F166" s="48"/>
      <c r="G166" s="48"/>
      <c r="H166" s="48"/>
      <c r="I166" s="48"/>
      <c r="J166" s="48"/>
      <c r="K166" s="48"/>
      <c r="L166" s="140">
        <f t="shared" ref="L166:L177" si="92">L109</f>
        <v>920</v>
      </c>
      <c r="M166" s="114">
        <f>M109</f>
        <v>920</v>
      </c>
      <c r="N166" s="63">
        <f t="shared" ref="N166:N177" si="93">IF(L166&gt;=M166,M166,L166)</f>
        <v>920</v>
      </c>
      <c r="O166" s="78"/>
      <c r="P166" s="48" t="str">
        <f t="shared" ref="P166:P177" si="94">P109</f>
        <v>CLU701-0304C4</v>
      </c>
      <c r="Q166" s="53" t="b">
        <f t="shared" ref="Q166:Q177" si="95">AND(S$158&lt;=$E$143,Q$158&gt;=$E$143)</f>
        <v>1</v>
      </c>
      <c r="R166" s="48">
        <f t="shared" ref="R166:R177" si="96">Q$155</f>
        <v>5</v>
      </c>
      <c r="S166" s="48"/>
      <c r="T166" s="63">
        <f t="shared" ref="T166:T177" si="97">N166/I125</f>
        <v>230</v>
      </c>
      <c r="U166" s="53" t="b">
        <f>AND(Q166,R166&lt;=L141,T166&gt;=L141)</f>
        <v>1</v>
      </c>
      <c r="V166" s="53" t="b">
        <f>AND(Q166,S$161&lt;X141,Q$161&gt;X141)</f>
        <v>1</v>
      </c>
      <c r="W166" s="53" t="b">
        <f>AND(U166,Q166,V166)</f>
        <v>1</v>
      </c>
      <c r="X166" s="49" t="b">
        <f>AND(M141*1)</f>
        <v>0</v>
      </c>
      <c r="Y166" s="49" t="b">
        <f>AND(W166,X166)</f>
        <v>0</v>
      </c>
    </row>
    <row r="167" spans="1:25" ht="15" hidden="1" x14ac:dyDescent="0.2">
      <c r="A167" s="48"/>
      <c r="B167" s="48"/>
      <c r="C167" s="48"/>
      <c r="D167" s="48"/>
      <c r="E167" s="48"/>
      <c r="F167" s="48"/>
      <c r="G167" s="48"/>
      <c r="H167" s="48"/>
      <c r="I167" s="48"/>
      <c r="J167" s="48"/>
      <c r="K167" s="48"/>
      <c r="L167" s="140">
        <f t="shared" si="92"/>
        <v>460</v>
      </c>
      <c r="M167" s="114">
        <f t="shared" ref="M167:M177" si="98">M110</f>
        <v>460</v>
      </c>
      <c r="N167" s="63">
        <f t="shared" si="93"/>
        <v>460</v>
      </c>
      <c r="O167" s="48"/>
      <c r="P167" s="48" t="str">
        <f t="shared" si="94"/>
        <v>CLU701-1002C4</v>
      </c>
      <c r="Q167" s="53" t="b">
        <f t="shared" si="95"/>
        <v>1</v>
      </c>
      <c r="R167" s="48">
        <f t="shared" si="96"/>
        <v>5</v>
      </c>
      <c r="S167" s="48"/>
      <c r="T167" s="63">
        <f t="shared" si="97"/>
        <v>230</v>
      </c>
      <c r="U167" s="53" t="b">
        <f t="shared" ref="U167:U177" si="99">AND(Q167,R167&lt;=L142,T167&gt;=L142)</f>
        <v>1</v>
      </c>
      <c r="V167" s="53" t="b">
        <f t="shared" ref="V167:V175" si="100">AND(Q167,S$161&lt;X142,Q$161&gt;X142)</f>
        <v>1</v>
      </c>
      <c r="W167" s="53" t="b">
        <f t="shared" ref="W167:W175" si="101">AND(U167,Q167,V167)</f>
        <v>1</v>
      </c>
      <c r="X167" s="49" t="b">
        <f t="shared" ref="X167:X177" si="102">AND(M142*1)</f>
        <v>1</v>
      </c>
      <c r="Y167" s="49" t="b">
        <f t="shared" ref="Y167:Y177" si="103">AND(W167,X167)</f>
        <v>1</v>
      </c>
    </row>
    <row r="168" spans="1:25" ht="15" hidden="1" x14ac:dyDescent="0.2">
      <c r="A168" s="48"/>
      <c r="B168" s="48"/>
      <c r="C168" s="48"/>
      <c r="D168" s="48"/>
      <c r="E168" s="48"/>
      <c r="F168" s="48"/>
      <c r="G168" s="48"/>
      <c r="H168" s="48"/>
      <c r="I168" s="48"/>
      <c r="J168" s="48"/>
      <c r="K168" s="48"/>
      <c r="L168" s="140">
        <f t="shared" si="92"/>
        <v>920</v>
      </c>
      <c r="M168" s="114">
        <f t="shared" si="98"/>
        <v>920</v>
      </c>
      <c r="N168" s="63">
        <f t="shared" si="93"/>
        <v>920</v>
      </c>
      <c r="O168" s="48"/>
      <c r="P168" s="48" t="str">
        <f t="shared" si="94"/>
        <v>CLU711-1204C4</v>
      </c>
      <c r="Q168" s="53" t="b">
        <f t="shared" si="95"/>
        <v>1</v>
      </c>
      <c r="R168" s="48">
        <f t="shared" si="96"/>
        <v>5</v>
      </c>
      <c r="S168" s="48"/>
      <c r="T168" s="63">
        <f t="shared" si="97"/>
        <v>230</v>
      </c>
      <c r="U168" s="53" t="b">
        <f t="shared" si="99"/>
        <v>1</v>
      </c>
      <c r="V168" s="53" t="b">
        <f t="shared" si="100"/>
        <v>1</v>
      </c>
      <c r="W168" s="53" t="b">
        <f t="shared" si="101"/>
        <v>1</v>
      </c>
      <c r="X168" s="49" t="b">
        <f t="shared" si="102"/>
        <v>1</v>
      </c>
      <c r="Y168" s="49" t="b">
        <f t="shared" si="103"/>
        <v>1</v>
      </c>
    </row>
    <row r="169" spans="1:25" ht="15" hidden="1" x14ac:dyDescent="0.2">
      <c r="A169" s="48"/>
      <c r="B169" s="48"/>
      <c r="C169" s="48"/>
      <c r="D169" s="48"/>
      <c r="E169" s="48"/>
      <c r="F169" s="48"/>
      <c r="G169" s="48"/>
      <c r="H169" s="48"/>
      <c r="I169" s="48"/>
      <c r="J169" s="48"/>
      <c r="K169" s="48"/>
      <c r="L169" s="140">
        <f t="shared" si="92"/>
        <v>1380</v>
      </c>
      <c r="M169" s="114">
        <f t="shared" si="98"/>
        <v>1380</v>
      </c>
      <c r="N169" s="63">
        <f t="shared" si="93"/>
        <v>1380</v>
      </c>
      <c r="O169" s="48"/>
      <c r="P169" s="48" t="str">
        <f t="shared" si="94"/>
        <v>CLU721-1206C4</v>
      </c>
      <c r="Q169" s="53" t="b">
        <f t="shared" si="95"/>
        <v>1</v>
      </c>
      <c r="R169" s="48">
        <f t="shared" si="96"/>
        <v>5</v>
      </c>
      <c r="S169" s="48"/>
      <c r="T169" s="63">
        <f t="shared" si="97"/>
        <v>230</v>
      </c>
      <c r="U169" s="53" t="b">
        <f t="shared" si="99"/>
        <v>1</v>
      </c>
      <c r="V169" s="53" t="b">
        <f t="shared" si="100"/>
        <v>1</v>
      </c>
      <c r="W169" s="53" t="b">
        <f t="shared" si="101"/>
        <v>1</v>
      </c>
      <c r="X169" s="49" t="b">
        <f t="shared" si="102"/>
        <v>1</v>
      </c>
      <c r="Y169" s="49" t="b">
        <f t="shared" si="103"/>
        <v>1</v>
      </c>
    </row>
    <row r="170" spans="1:25" ht="15" hidden="1" x14ac:dyDescent="0.2">
      <c r="A170" s="48"/>
      <c r="B170" s="48"/>
      <c r="C170" s="48"/>
      <c r="D170" s="48"/>
      <c r="E170" s="48"/>
      <c r="F170" s="48"/>
      <c r="G170" s="48"/>
      <c r="H170" s="48"/>
      <c r="I170" s="48"/>
      <c r="J170" s="48"/>
      <c r="K170" s="48"/>
      <c r="L170" s="140">
        <f t="shared" si="92"/>
        <v>2300</v>
      </c>
      <c r="M170" s="114">
        <f t="shared" si="98"/>
        <v>2300</v>
      </c>
      <c r="N170" s="63">
        <f t="shared" si="93"/>
        <v>2300</v>
      </c>
      <c r="O170" s="48"/>
      <c r="P170" s="48" t="str">
        <f t="shared" si="94"/>
        <v>CLU731-1210C4</v>
      </c>
      <c r="Q170" s="53" t="b">
        <f t="shared" si="95"/>
        <v>1</v>
      </c>
      <c r="R170" s="48">
        <f t="shared" si="96"/>
        <v>5</v>
      </c>
      <c r="S170" s="48"/>
      <c r="T170" s="63">
        <f t="shared" si="97"/>
        <v>230</v>
      </c>
      <c r="U170" s="53" t="b">
        <f t="shared" si="99"/>
        <v>1</v>
      </c>
      <c r="V170" s="53" t="b">
        <f>AND(Q170,S$161&lt;X145,Q$161&gt;X145)</f>
        <v>1</v>
      </c>
      <c r="W170" s="53" t="b">
        <f t="shared" si="101"/>
        <v>1</v>
      </c>
      <c r="X170" s="49" t="b">
        <f t="shared" si="102"/>
        <v>1</v>
      </c>
      <c r="Y170" s="49" t="b">
        <f t="shared" si="103"/>
        <v>1</v>
      </c>
    </row>
    <row r="171" spans="1:25" ht="15" hidden="1" x14ac:dyDescent="0.2">
      <c r="A171" s="48"/>
      <c r="B171" s="48"/>
      <c r="C171" s="48"/>
      <c r="D171" s="48"/>
      <c r="E171" s="48"/>
      <c r="F171" s="48"/>
      <c r="G171" s="48"/>
      <c r="H171" s="48"/>
      <c r="I171" s="48"/>
      <c r="J171" s="48"/>
      <c r="K171" s="48"/>
      <c r="L171" s="55">
        <f t="shared" si="92"/>
        <v>0</v>
      </c>
      <c r="M171" s="114">
        <f t="shared" si="98"/>
        <v>0</v>
      </c>
      <c r="N171" s="63">
        <f t="shared" si="93"/>
        <v>0</v>
      </c>
      <c r="O171" s="48"/>
      <c r="P171" s="48">
        <f t="shared" si="94"/>
        <v>0</v>
      </c>
      <c r="Q171" s="53" t="b">
        <f t="shared" si="95"/>
        <v>1</v>
      </c>
      <c r="R171" s="48">
        <f t="shared" si="96"/>
        <v>5</v>
      </c>
      <c r="S171" s="48"/>
      <c r="T171" s="63" t="e">
        <f t="shared" si="97"/>
        <v>#DIV/0!</v>
      </c>
      <c r="U171" s="53" t="e">
        <f t="shared" si="99"/>
        <v>#DIV/0!</v>
      </c>
      <c r="V171" s="53" t="e">
        <f t="shared" si="100"/>
        <v>#DIV/0!</v>
      </c>
      <c r="W171" s="53" t="e">
        <f t="shared" si="101"/>
        <v>#DIV/0!</v>
      </c>
      <c r="X171" s="49" t="e">
        <f t="shared" si="102"/>
        <v>#DIV/0!</v>
      </c>
      <c r="Y171" s="49" t="e">
        <f t="shared" si="103"/>
        <v>#DIV/0!</v>
      </c>
    </row>
    <row r="172" spans="1:25" ht="15" hidden="1" x14ac:dyDescent="0.2">
      <c r="A172" s="48"/>
      <c r="B172" s="48"/>
      <c r="C172" s="48"/>
      <c r="D172" s="48"/>
      <c r="E172" s="48"/>
      <c r="F172" s="48"/>
      <c r="G172" s="48"/>
      <c r="H172" s="48"/>
      <c r="I172" s="48"/>
      <c r="J172" s="48"/>
      <c r="K172" s="48"/>
      <c r="L172" s="55">
        <f t="shared" si="92"/>
        <v>0</v>
      </c>
      <c r="M172" s="114">
        <f t="shared" si="98"/>
        <v>0</v>
      </c>
      <c r="N172" s="63">
        <f t="shared" si="93"/>
        <v>0</v>
      </c>
      <c r="O172" s="48"/>
      <c r="P172" s="48">
        <f t="shared" si="94"/>
        <v>0</v>
      </c>
      <c r="Q172" s="53" t="b">
        <f t="shared" si="95"/>
        <v>1</v>
      </c>
      <c r="R172" s="48">
        <f t="shared" si="96"/>
        <v>5</v>
      </c>
      <c r="S172" s="48"/>
      <c r="T172" s="63" t="e">
        <f t="shared" si="97"/>
        <v>#DIV/0!</v>
      </c>
      <c r="U172" s="53" t="e">
        <f t="shared" si="99"/>
        <v>#DIV/0!</v>
      </c>
      <c r="V172" s="53" t="e">
        <f t="shared" si="100"/>
        <v>#DIV/0!</v>
      </c>
      <c r="W172" s="53" t="e">
        <f t="shared" si="101"/>
        <v>#DIV/0!</v>
      </c>
      <c r="X172" s="49" t="e">
        <f t="shared" si="102"/>
        <v>#DIV/0!</v>
      </c>
      <c r="Y172" s="49" t="e">
        <f t="shared" si="103"/>
        <v>#DIV/0!</v>
      </c>
    </row>
    <row r="173" spans="1:25" ht="15" hidden="1" x14ac:dyDescent="0.2">
      <c r="A173" s="48"/>
      <c r="B173" s="48"/>
      <c r="C173" s="48"/>
      <c r="D173" s="48"/>
      <c r="E173" s="48"/>
      <c r="F173" s="48"/>
      <c r="G173" s="48"/>
      <c r="H173" s="48"/>
      <c r="I173" s="48"/>
      <c r="J173" s="48"/>
      <c r="K173" s="48"/>
      <c r="L173" s="55">
        <f t="shared" si="92"/>
        <v>0</v>
      </c>
      <c r="M173" s="114">
        <f t="shared" si="98"/>
        <v>0</v>
      </c>
      <c r="N173" s="63">
        <f t="shared" si="93"/>
        <v>0</v>
      </c>
      <c r="O173" s="48"/>
      <c r="P173" s="48">
        <f t="shared" si="94"/>
        <v>0</v>
      </c>
      <c r="Q173" s="53" t="b">
        <f t="shared" si="95"/>
        <v>1</v>
      </c>
      <c r="R173" s="48">
        <f t="shared" si="96"/>
        <v>5</v>
      </c>
      <c r="S173" s="48"/>
      <c r="T173" s="63" t="e">
        <f t="shared" si="97"/>
        <v>#DIV/0!</v>
      </c>
      <c r="U173" s="53" t="e">
        <f t="shared" si="99"/>
        <v>#DIV/0!</v>
      </c>
      <c r="V173" s="53" t="e">
        <f t="shared" si="100"/>
        <v>#DIV/0!</v>
      </c>
      <c r="W173" s="53" t="e">
        <f t="shared" si="101"/>
        <v>#DIV/0!</v>
      </c>
      <c r="X173" s="49" t="e">
        <f t="shared" si="102"/>
        <v>#DIV/0!</v>
      </c>
      <c r="Y173" s="49" t="e">
        <f t="shared" si="103"/>
        <v>#DIV/0!</v>
      </c>
    </row>
    <row r="174" spans="1:25" ht="15" hidden="1" x14ac:dyDescent="0.2">
      <c r="A174" s="48"/>
      <c r="B174" s="48"/>
      <c r="C174" s="48"/>
      <c r="D174" s="48"/>
      <c r="E174" s="48"/>
      <c r="F174" s="48"/>
      <c r="G174" s="48"/>
      <c r="H174" s="48"/>
      <c r="I174" s="48"/>
      <c r="J174" s="48"/>
      <c r="K174" s="48"/>
      <c r="L174" s="55">
        <f t="shared" si="92"/>
        <v>0</v>
      </c>
      <c r="M174" s="114">
        <f t="shared" si="98"/>
        <v>0</v>
      </c>
      <c r="N174" s="63">
        <f t="shared" si="93"/>
        <v>0</v>
      </c>
      <c r="O174" s="48"/>
      <c r="P174" s="48">
        <f t="shared" si="94"/>
        <v>0</v>
      </c>
      <c r="Q174" s="53" t="b">
        <f t="shared" si="95"/>
        <v>1</v>
      </c>
      <c r="R174" s="48">
        <f t="shared" si="96"/>
        <v>5</v>
      </c>
      <c r="S174" s="48"/>
      <c r="T174" s="63" t="e">
        <f t="shared" si="97"/>
        <v>#DIV/0!</v>
      </c>
      <c r="U174" s="53" t="e">
        <f t="shared" si="99"/>
        <v>#DIV/0!</v>
      </c>
      <c r="V174" s="53" t="e">
        <f t="shared" si="100"/>
        <v>#DIV/0!</v>
      </c>
      <c r="W174" s="53" t="e">
        <f t="shared" si="101"/>
        <v>#DIV/0!</v>
      </c>
      <c r="X174" s="49" t="e">
        <f t="shared" si="102"/>
        <v>#DIV/0!</v>
      </c>
      <c r="Y174" s="49" t="e">
        <f t="shared" si="103"/>
        <v>#DIV/0!</v>
      </c>
    </row>
    <row r="175" spans="1:25" ht="15" hidden="1" x14ac:dyDescent="0.2">
      <c r="A175" s="48"/>
      <c r="B175" s="48"/>
      <c r="C175" s="48"/>
      <c r="D175" s="48"/>
      <c r="E175" s="48"/>
      <c r="F175" s="48"/>
      <c r="G175" s="48"/>
      <c r="H175" s="48"/>
      <c r="I175" s="48"/>
      <c r="J175" s="48"/>
      <c r="K175" s="48"/>
      <c r="L175" s="55">
        <f t="shared" si="92"/>
        <v>0</v>
      </c>
      <c r="M175" s="114">
        <f t="shared" si="98"/>
        <v>0</v>
      </c>
      <c r="N175" s="63">
        <f t="shared" si="93"/>
        <v>0</v>
      </c>
      <c r="O175" s="48"/>
      <c r="P175" s="48">
        <f t="shared" si="94"/>
        <v>0</v>
      </c>
      <c r="Q175" s="53" t="b">
        <f t="shared" si="95"/>
        <v>1</v>
      </c>
      <c r="R175" s="48">
        <f t="shared" si="96"/>
        <v>5</v>
      </c>
      <c r="S175" s="48"/>
      <c r="T175" s="63" t="e">
        <f t="shared" si="97"/>
        <v>#DIV/0!</v>
      </c>
      <c r="U175" s="53" t="e">
        <f t="shared" si="99"/>
        <v>#DIV/0!</v>
      </c>
      <c r="V175" s="53" t="e">
        <f t="shared" si="100"/>
        <v>#DIV/0!</v>
      </c>
      <c r="W175" s="53" t="e">
        <f t="shared" si="101"/>
        <v>#DIV/0!</v>
      </c>
      <c r="X175" s="49" t="e">
        <f t="shared" si="102"/>
        <v>#DIV/0!</v>
      </c>
      <c r="Y175" s="49" t="e">
        <f t="shared" si="103"/>
        <v>#DIV/0!</v>
      </c>
    </row>
    <row r="176" spans="1:25" ht="15" hidden="1" x14ac:dyDescent="0.2">
      <c r="A176" s="48"/>
      <c r="B176" s="48"/>
      <c r="C176" s="48"/>
      <c r="D176" s="48"/>
      <c r="E176" s="48"/>
      <c r="F176" s="48"/>
      <c r="G176" s="48"/>
      <c r="H176" s="48"/>
      <c r="I176" s="48"/>
      <c r="J176" s="48"/>
      <c r="K176" s="48"/>
      <c r="L176" s="55">
        <f t="shared" si="92"/>
        <v>0</v>
      </c>
      <c r="M176" s="114">
        <f t="shared" si="98"/>
        <v>0</v>
      </c>
      <c r="N176" s="63">
        <f t="shared" si="93"/>
        <v>0</v>
      </c>
      <c r="O176" s="48"/>
      <c r="P176" s="48">
        <f t="shared" si="94"/>
        <v>0</v>
      </c>
      <c r="Q176" s="53" t="b">
        <f>AND(S$158&lt;=$E$143,Q$158&gt;=$E$143)</f>
        <v>1</v>
      </c>
      <c r="R176" s="48">
        <f>Q$155</f>
        <v>5</v>
      </c>
      <c r="S176" s="48"/>
      <c r="T176" s="63" t="e">
        <f t="shared" si="97"/>
        <v>#DIV/0!</v>
      </c>
      <c r="U176" s="53" t="e">
        <f t="shared" si="99"/>
        <v>#DIV/0!</v>
      </c>
      <c r="V176" s="53" t="e">
        <f>AND(Q176,S$161&lt;X151,Q$161&gt;X151)</f>
        <v>#DIV/0!</v>
      </c>
      <c r="W176" s="53" t="e">
        <f>AND(U176,Q176,V176)</f>
        <v>#DIV/0!</v>
      </c>
      <c r="X176" s="49" t="e">
        <f t="shared" si="102"/>
        <v>#DIV/0!</v>
      </c>
      <c r="Y176" s="49" t="e">
        <f t="shared" si="103"/>
        <v>#DIV/0!</v>
      </c>
    </row>
    <row r="177" spans="1:25" ht="15" hidden="1" x14ac:dyDescent="0.2">
      <c r="A177" s="48"/>
      <c r="B177" s="48"/>
      <c r="C177" s="48"/>
      <c r="D177" s="48"/>
      <c r="E177" s="48"/>
      <c r="F177" s="48"/>
      <c r="G177" s="48"/>
      <c r="H177" s="48"/>
      <c r="I177" s="48"/>
      <c r="J177" s="48"/>
      <c r="K177" s="48"/>
      <c r="L177" s="55">
        <f t="shared" si="92"/>
        <v>0</v>
      </c>
      <c r="M177" s="114">
        <f t="shared" si="98"/>
        <v>0</v>
      </c>
      <c r="N177" s="63">
        <f t="shared" si="93"/>
        <v>0</v>
      </c>
      <c r="O177" s="48"/>
      <c r="P177" s="48">
        <f t="shared" si="94"/>
        <v>0</v>
      </c>
      <c r="Q177" s="53" t="b">
        <f t="shared" si="95"/>
        <v>1</v>
      </c>
      <c r="R177" s="48">
        <f t="shared" si="96"/>
        <v>5</v>
      </c>
      <c r="S177" s="48"/>
      <c r="T177" s="63" t="e">
        <f t="shared" si="97"/>
        <v>#DIV/0!</v>
      </c>
      <c r="U177" s="53" t="e">
        <f t="shared" si="99"/>
        <v>#DIV/0!</v>
      </c>
      <c r="V177" s="53" t="e">
        <f>AND(Q177,S$161&lt;X152,Q$161&gt;X152)</f>
        <v>#DIV/0!</v>
      </c>
      <c r="W177" s="53" t="e">
        <f>AND(U177,Q177,V177)</f>
        <v>#DIV/0!</v>
      </c>
      <c r="X177" s="49" t="e">
        <f t="shared" si="102"/>
        <v>#DIV/0!</v>
      </c>
      <c r="Y177" s="49" t="e">
        <f t="shared" si="103"/>
        <v>#DIV/0!</v>
      </c>
    </row>
    <row r="178" spans="1:25" ht="14.25" hidden="1" x14ac:dyDescent="0.2">
      <c r="M178" s="115"/>
    </row>
    <row r="179" spans="1:25" ht="14.25" hidden="1" x14ac:dyDescent="0.2">
      <c r="M179" s="115"/>
    </row>
    <row r="180" spans="1:25" ht="14.25" hidden="1" x14ac:dyDescent="0.15"/>
    <row r="181" spans="1:25" ht="14.25" x14ac:dyDescent="0.15"/>
    <row r="182" spans="1:25" ht="14.25" x14ac:dyDescent="0.15"/>
    <row r="183" spans="1:25" ht="14.25" x14ac:dyDescent="0.15"/>
    <row r="184" spans="1:25" ht="14.25" x14ac:dyDescent="0.15"/>
    <row r="185" spans="1:25" ht="14.25" x14ac:dyDescent="0.15"/>
  </sheetData>
  <sheetProtection password="C071" sheet="1" objects="1" scenarios="1" selectLockedCells="1" selectUnlockedCells="1"/>
  <mergeCells count="1">
    <mergeCell ref="A56:B56"/>
  </mergeCells>
  <phoneticPr fontId="2"/>
  <conditionalFormatting sqref="C35:P44 C45:J45 L45:P45 K45:K46">
    <cfRule type="cellIs" dxfId="2" priority="5" stopIfTrue="1" operator="equal">
      <formula>"Not Applicable"</formula>
    </cfRule>
  </conditionalFormatting>
  <conditionalFormatting sqref="C34:P34 J34:P46">
    <cfRule type="cellIs" dxfId="1" priority="2" stopIfTrue="1" operator="equal">
      <formula>"Not Applicable"</formula>
    </cfRule>
  </conditionalFormatting>
  <conditionalFormatting sqref="C46:J46 L46:P46">
    <cfRule type="cellIs" dxfId="0" priority="1" stopIfTrue="1" operator="equal">
      <formula>"Not Applicable"</formula>
    </cfRule>
  </conditionalFormatting>
  <pageMargins left="0.19685039370078741" right="0.19685039370078741" top="0.19685039370078741" bottom="0.19685039370078741" header="0.51181102362204722" footer="0.51181102362204722"/>
  <pageSetup paperSize="9" scale="2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Simulator</vt:lpstr>
      <vt:lpstr>Calculation</vt:lpstr>
      <vt:lpstr>Calculation!Print_Area</vt:lpstr>
      <vt:lpstr>Simulator!Print_Area</vt:lpstr>
    </vt:vector>
  </TitlesOfParts>
  <Company>CITIZEN ELECTRONICS CO.,LTD.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CITILED Lighting LED Selection Simulator</dc:title>
  <dc:creator>貴家 健次</dc:creator>
  <cp:lastModifiedBy>舟久保 拓也</cp:lastModifiedBy>
  <cp:lastPrinted>2014-05-01T10:43:19Z</cp:lastPrinted>
  <dcterms:created xsi:type="dcterms:W3CDTF">2011-08-25T00:09:33Z</dcterms:created>
  <dcterms:modified xsi:type="dcterms:W3CDTF">2017-06-30T00:52:59Z</dcterms:modified>
</cp:coreProperties>
</file>